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0" yWindow="65296" windowWidth="7110" windowHeight="8160" tabRatio="797" activeTab="0"/>
  </bookViews>
  <sheets>
    <sheet name="Utility Rate Data Input" sheetId="1" r:id="rId1"/>
    <sheet name="Facility Water Balance" sheetId="2" r:id="rId2"/>
    <sheet name="True Cost of Water" sheetId="3" r:id="rId3"/>
    <sheet name="Historical Water Use" sheetId="4" r:id="rId4"/>
    <sheet name="OnSite AlternativeWater Sources" sheetId="5" r:id="rId5"/>
  </sheets>
  <definedNames/>
  <calcPr fullCalcOnLoad="1"/>
</workbook>
</file>

<file path=xl/sharedStrings.xml><?xml version="1.0" encoding="utf-8"?>
<sst xmlns="http://schemas.openxmlformats.org/spreadsheetml/2006/main" count="210" uniqueCount="168">
  <si>
    <t>Total</t>
  </si>
  <si>
    <t>Refer to page # of the manual.</t>
  </si>
  <si>
    <t>List Labels</t>
  </si>
  <si>
    <t>1000 gals</t>
  </si>
  <si>
    <t>ccfs</t>
  </si>
  <si>
    <t>Select one</t>
  </si>
  <si>
    <t>kgal/ccf</t>
  </si>
  <si>
    <t>1000 or 748</t>
  </si>
  <si>
    <t>2. Hrs/day of operation&gt;&gt;&gt;</t>
  </si>
  <si>
    <t xml:space="preserve">POTENTIAL MAKE-UP WATER CONDENSATE WATER SUPPLEMENT </t>
  </si>
  <si>
    <t>gallons per month</t>
  </si>
  <si>
    <t>This volume represents the amount of condensate water created that can be used to supplement cooling tower make-up.</t>
  </si>
  <si>
    <t>This volume is created during the more humid months.  In Florida, this would be May through September.</t>
  </si>
  <si>
    <t>Expense Factor</t>
  </si>
  <si>
    <t>Cost ($)</t>
  </si>
  <si>
    <t>Pretreatment chemicals (if applicable)</t>
  </si>
  <si>
    <t xml:space="preserve">Sewer </t>
  </si>
  <si>
    <t>Cooling Tower Water Treatment</t>
  </si>
  <si>
    <t>Other (Electricity for irrigation pump)</t>
  </si>
  <si>
    <t>Other (Electricity for heating)</t>
  </si>
  <si>
    <t>Total Cost of water (Annually)</t>
  </si>
  <si>
    <t>*^Date</t>
  </si>
  <si>
    <t>* Potable or Well Water Inflow  (gals)</t>
  </si>
  <si>
    <t>* Utility Sewer Water Outflow (gals)</t>
  </si>
  <si>
    <t>Cooling tower chemical expenses</t>
  </si>
  <si>
    <t>*Required columns.</t>
  </si>
  <si>
    <t>L</t>
  </si>
  <si>
    <t>Facility Water Balance</t>
  </si>
  <si>
    <t>Water Use</t>
  </si>
  <si>
    <t>Gallons per year</t>
  </si>
  <si>
    <t xml:space="preserve">Boiler make-up </t>
  </si>
  <si>
    <t xml:space="preserve">Cooling Tower make-up </t>
  </si>
  <si>
    <t>Processes and equipment Operations</t>
  </si>
  <si>
    <t xml:space="preserve">     Steamcleaning</t>
  </si>
  <si>
    <t xml:space="preserve">     Materials transport</t>
  </si>
  <si>
    <t>Domestic (restrooms, breakrooms)</t>
  </si>
  <si>
    <t xml:space="preserve">     PreRinse Spray Valves</t>
  </si>
  <si>
    <t xml:space="preserve">     Dishwashers</t>
  </si>
  <si>
    <t xml:space="preserve">     Ice machines</t>
  </si>
  <si>
    <t>Commercial Clothes washers</t>
  </si>
  <si>
    <t>Vehicle fleet wash</t>
  </si>
  <si>
    <t>Once-through cooling</t>
  </si>
  <si>
    <t>Landscape Irrigation</t>
  </si>
  <si>
    <t>Known leaks</t>
  </si>
  <si>
    <t>*Water purchased + well pumpage</t>
  </si>
  <si>
    <t>Unaccounted for</t>
  </si>
  <si>
    <t>*Enter Metered Volume</t>
  </si>
  <si>
    <t>Year</t>
  </si>
  <si>
    <t>Quarter</t>
  </si>
  <si>
    <t xml:space="preserve">Potable Water </t>
  </si>
  <si>
    <t>The number of gallons used during the Expense Period must be determined by looking at the water bill.  Usage may be reported as "Usage" (usually gallons) or 1000 gallon increments or 100 cubic feet increments (listed as ccf or hcf).  To convert ccfs or hcfs to gallons, use the table to the right then enter the amount in gallons in Step 2.</t>
  </si>
  <si>
    <t>Actual expenses for water (potable &amp; sewer) and all related expenses (chemical treatment etc.) should reflect expenses over the same time period (referred to as the "Expense Period".)  Annual is best, but monthly &amp; quarterly expenses are acceptable.</t>
  </si>
  <si>
    <t>Commercial-Grade Kitchen</t>
  </si>
  <si>
    <t>On-Site Alternative Water Sources</t>
  </si>
  <si>
    <t>This worksheet was designed to assist in creating an estimate of on-site water from two sources, Cooling Tower Condensate and Harvested Rainwater.</t>
  </si>
  <si>
    <t>In addition to these sources, a facility may have several other potential sources.  The facility manager is advised to consult with a professional engineering or conservation firm to explore other potential sources, capacity, reliabilty, expenses, uses and water-cost offsets of on-site water.</t>
  </si>
  <si>
    <t>Each 1000 ft2 of a building’s roof area can collect approximately 500 gallons of water from a one-inch rain.  Therefore, the capacity of a facility’s rain harvest can be found as follows:</t>
  </si>
  <si>
    <t>1. Enter the building(s) roof area in square feet  &gt;&gt;&gt;&gt;</t>
  </si>
  <si>
    <t>Cost of water (Potable &amp; Sewer alone) per 1000 gallon</t>
  </si>
  <si>
    <r>
      <rPr>
        <b/>
        <sz val="11"/>
        <color indexed="12"/>
        <rFont val="Arial"/>
        <family val="2"/>
      </rPr>
      <t xml:space="preserve">True </t>
    </r>
    <r>
      <rPr>
        <b/>
        <sz val="11"/>
        <color indexed="8"/>
        <rFont val="Arial"/>
        <family val="2"/>
      </rPr>
      <t>Cost of water per 1000 gallons*</t>
    </r>
  </si>
  <si>
    <t>*Accounts for the indirect costs in the table above.</t>
  </si>
  <si>
    <t>Breakroom water use</t>
  </si>
  <si>
    <t>ccf</t>
  </si>
  <si>
    <r>
      <t xml:space="preserve">2. Enter the </t>
    </r>
    <r>
      <rPr>
        <b/>
        <sz val="11"/>
        <color indexed="12"/>
        <rFont val="Calibri"/>
        <family val="2"/>
      </rPr>
      <t>number of gallons used</t>
    </r>
    <r>
      <rPr>
        <b/>
        <sz val="11"/>
        <color indexed="8"/>
        <rFont val="Calibri"/>
        <family val="2"/>
      </rPr>
      <t xml:space="preserve"> in the Expense Period Input Table</t>
    </r>
  </si>
  <si>
    <t>True Cost of Water</t>
  </si>
  <si>
    <t>Historical Water Use</t>
  </si>
  <si>
    <t>Onsite Alternative Water Sources</t>
  </si>
  <si>
    <t>The four worksheet tabs, not including this metadata tab, are as follows:</t>
  </si>
  <si>
    <t>This file contains four tabs for use with the Water Efficiency Improvement Self-Assessment Guide for Office Building Facility Managers.</t>
  </si>
  <si>
    <t>Determining the True Cost of Water</t>
  </si>
  <si>
    <t xml:space="preserve">Historical Water Use Profile </t>
  </si>
  <si>
    <t>Billing Data Input</t>
  </si>
  <si>
    <t>1. Select Billing Unit (1000 gals or ccfs)   &gt;&gt;&gt;&gt;&gt;</t>
  </si>
  <si>
    <t>2. Utility cost potable water per</t>
  </si>
  <si>
    <t>3. Utility cost sewer water per</t>
  </si>
  <si>
    <t>4. Select Water Heat Type  &gt;&gt;&gt;&gt;&gt;&gt;</t>
  </si>
  <si>
    <t>Gas Heat</t>
  </si>
  <si>
    <t xml:space="preserve">6. Heater Efficiency: </t>
  </si>
  <si>
    <t>Gas</t>
  </si>
  <si>
    <t>%</t>
  </si>
  <si>
    <t xml:space="preserve">Suggested default heat efficiencies:  </t>
  </si>
  <si>
    <t>Elect.</t>
  </si>
  <si>
    <t>Energy cost to heat 1.0 of one gallon</t>
  </si>
  <si>
    <t>List labels</t>
  </si>
  <si>
    <t>Energy cost to heat .67% of one gallon*</t>
  </si>
  <si>
    <t>Step-by-step directions for each tab are provided in the respective sections of the manual.</t>
  </si>
  <si>
    <t>Cost water per gallon (Pot+Sew)</t>
  </si>
  <si>
    <t>heat factor</t>
  </si>
  <si>
    <t>0.00001 is for gas</t>
  </si>
  <si>
    <t>Water Heating Selections:</t>
  </si>
  <si>
    <t>Energy</t>
  </si>
  <si>
    <t xml:space="preserve">Unit Cost </t>
  </si>
  <si>
    <t>Efficiency</t>
  </si>
  <si>
    <t>Electric Heat</t>
  </si>
  <si>
    <t>*assumes that the user blends 2/3 hot water with 1/3 cool water.</t>
  </si>
  <si>
    <r>
      <rPr>
        <b/>
        <sz val="11"/>
        <rFont val="Arial Narrow"/>
        <family val="2"/>
      </rPr>
      <t xml:space="preserve">5. Enter </t>
    </r>
    <r>
      <rPr>
        <b/>
        <sz val="11"/>
        <color indexed="12"/>
        <rFont val="Arial Narrow"/>
        <family val="2"/>
      </rPr>
      <t>Gas Cost per Therm</t>
    </r>
  </si>
  <si>
    <r>
      <rPr>
        <b/>
        <sz val="11"/>
        <rFont val="Arial Narrow"/>
        <family val="2"/>
      </rPr>
      <t xml:space="preserve">5. Enter </t>
    </r>
    <r>
      <rPr>
        <b/>
        <sz val="11"/>
        <color indexed="12"/>
        <rFont val="Arial Narrow"/>
        <family val="2"/>
      </rPr>
      <t>Electric Cost per kWh</t>
    </r>
  </si>
  <si>
    <t>59 %</t>
  </si>
  <si>
    <t>92.7 %</t>
  </si>
  <si>
    <r>
      <t xml:space="preserve">1. Designate the </t>
    </r>
    <r>
      <rPr>
        <b/>
        <sz val="11"/>
        <color indexed="12"/>
        <rFont val="Calibri"/>
        <family val="2"/>
      </rPr>
      <t xml:space="preserve">Expense Period </t>
    </r>
  </si>
  <si>
    <t>3. Enter expenses incurred over the Expense Period indicated Step 2.</t>
  </si>
  <si>
    <t>2. Examine the graphs below the tables.</t>
  </si>
  <si>
    <t xml:space="preserve"> Historical Water Use Data Input</t>
  </si>
  <si>
    <t>1. Typical operating tons of cooling (cooling tower)&gt;&gt;&gt;</t>
  </si>
  <si>
    <t>This water is very low in total disolved solids but will need to be managed to inhibit biological activity.</t>
  </si>
  <si>
    <t>2. Days/month of operation&gt;&gt;&gt;</t>
  </si>
  <si>
    <t>dollars per month</t>
  </si>
  <si>
    <t>Value of this in offset potable and sewer water expenses</t>
  </si>
  <si>
    <t xml:space="preserve">Enter data into shaded white cells.  </t>
  </si>
  <si>
    <t xml:space="preserve">Gold cells contain dropdown menues.  </t>
  </si>
  <si>
    <t>Select One</t>
  </si>
  <si>
    <t xml:space="preserve">Shaded Gray Cells are calculated outputs.  </t>
  </si>
  <si>
    <t xml:space="preserve">1. Enter data for all columns for which information can be acquired into the Historical Water Use Data Input Table.  </t>
  </si>
  <si>
    <t>Instructions on using these tabs are located in the Level III Section of the Manual.</t>
  </si>
  <si>
    <t xml:space="preserve">The evaluator must enter their billing data into the input table below for the other tabs in this spreadsheet to function.  </t>
  </si>
  <si>
    <r>
      <t xml:space="preserve">1. Enter the </t>
    </r>
    <r>
      <rPr>
        <b/>
        <sz val="11"/>
        <color indexed="12"/>
        <rFont val="Calibri"/>
        <family val="2"/>
      </rPr>
      <t>number of gallons used</t>
    </r>
    <r>
      <rPr>
        <b/>
        <sz val="11"/>
        <color indexed="8"/>
        <rFont val="Calibri"/>
        <family val="2"/>
      </rPr>
      <t xml:space="preserve"> for each use category in the table below.</t>
    </r>
  </si>
  <si>
    <t xml:space="preserve">Potential gallons captured annually  </t>
  </si>
  <si>
    <t xml:space="preserve">Potential gallons captured during a 1 inch rain event  </t>
  </si>
  <si>
    <t>Location</t>
  </si>
  <si>
    <t>Arcadia</t>
  </si>
  <si>
    <t>Daytona Bch.</t>
  </si>
  <si>
    <t>Fort Myers</t>
  </si>
  <si>
    <t>Gainesville</t>
  </si>
  <si>
    <t>Jacksonville</t>
  </si>
  <si>
    <t>Key West</t>
  </si>
  <si>
    <t>Lake City</t>
  </si>
  <si>
    <t>Lakeland</t>
  </si>
  <si>
    <t>Miami</t>
  </si>
  <si>
    <t>Pensacola</t>
  </si>
  <si>
    <t>Tallahassee</t>
  </si>
  <si>
    <t>Tampa</t>
  </si>
  <si>
    <t>Annual Rainfall (Average)</t>
  </si>
  <si>
    <t>RAINWATER HARVESTING POTENTIAL</t>
  </si>
  <si>
    <t>1.</t>
  </si>
  <si>
    <t>2.</t>
  </si>
  <si>
    <t xml:space="preserve">Local Rainfall Averages </t>
  </si>
  <si>
    <t>The potential gallons captured and the subsequent savings shown are absolute potentials.  The actual savings will be dependent upon the size of the storage tank and how rapidly the water is used.  The actually savings may be less than the absolute potential amount.  If the absolute amount appears to be substantial, the facility manager is encouraged to contact a professional engineering firm to discuss site-specific considerations and costs associated with rainwater capture, storage, and use.</t>
  </si>
  <si>
    <t>To use this spreadsheet:</t>
  </si>
  <si>
    <t>1. Select facility's billing unit for sewer water (1000 gals or ccf) &gt;&gt;&gt;</t>
  </si>
  <si>
    <t>4. Enter facility's billing rate for potable water per</t>
  </si>
  <si>
    <t>5. Enter facility's billing rate for sewer water per</t>
  </si>
  <si>
    <t xml:space="preserve">^ Date must be entered as a three-letter month abreviation and </t>
  </si>
  <si>
    <t xml:space="preserve">   two-digit year.  Example Mar-08</t>
  </si>
  <si>
    <t xml:space="preserve">Enter consumption directly from your bill, either in ccfs </t>
  </si>
  <si>
    <t>or 1000 gallon increments.  The output in the charts will be in gallons.</t>
  </si>
  <si>
    <t>Other (Type directly over this text)</t>
  </si>
  <si>
    <t xml:space="preserve">     Steam Cookers</t>
  </si>
  <si>
    <t xml:space="preserve">     Combination Ovens</t>
  </si>
  <si>
    <t xml:space="preserve">The graph below will be created as table is populated.  </t>
  </si>
  <si>
    <t>Your chart will resemble the</t>
  </si>
  <si>
    <t>example  at the right after you</t>
  </si>
  <si>
    <t xml:space="preserve"> have entered values into the</t>
  </si>
  <si>
    <t xml:space="preserve"> table at the left.</t>
  </si>
  <si>
    <t xml:space="preserve">     Toilets</t>
  </si>
  <si>
    <t xml:space="preserve">     Residential Dishwasher</t>
  </si>
  <si>
    <t xml:space="preserve">     Other Faucets</t>
  </si>
  <si>
    <t xml:space="preserve">     Showerhead</t>
  </si>
  <si>
    <t xml:space="preserve">     Faucets</t>
  </si>
  <si>
    <t xml:space="preserve">     Urinals</t>
  </si>
  <si>
    <t>Month</t>
  </si>
  <si>
    <t>Cooling tower condensate may have been calculated as part of the level II cooling tower procedure.</t>
  </si>
  <si>
    <t>2. Select the city closest to your location.  (see the table at right) &gt;&gt;&gt;</t>
  </si>
  <si>
    <t xml:space="preserve">3. Enter the name of your water-related expenses </t>
  </si>
  <si>
    <t>Refer to page 160 of the guidebook for instructions on how to use this calculator.</t>
  </si>
  <si>
    <t>Refer to page 163 of the guidebook for instructions on how to use this calculator.</t>
  </si>
  <si>
    <t xml:space="preserve">Refer to page 154 of the guidebook for instructions on how to </t>
  </si>
  <si>
    <t>use this calculator.</t>
  </si>
  <si>
    <t xml:space="preserve">Refer to page 157 of the guidebook for instructions on how to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</si>
</sst>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mmm\-yy;@"/>
    <numFmt numFmtId="167" formatCode="&quot;$&quot;#,##0.00000"/>
    <numFmt numFmtId="168" formatCode="#,##0.0"/>
  </numFmts>
  <fonts count="91">
    <font>
      <sz val="10"/>
      <name val="Arial"/>
      <family val="0"/>
    </font>
    <font>
      <sz val="11"/>
      <color indexed="8"/>
      <name val="Calibri"/>
      <family val="2"/>
    </font>
    <font>
      <b/>
      <sz val="11"/>
      <color indexed="8"/>
      <name val="Calibri"/>
      <family val="2"/>
    </font>
    <font>
      <b/>
      <sz val="11"/>
      <name val="Arial Narrow"/>
      <family val="2"/>
    </font>
    <font>
      <b/>
      <sz val="11"/>
      <name val="Arial MT"/>
      <family val="0"/>
    </font>
    <font>
      <b/>
      <sz val="10"/>
      <name val="Arial"/>
      <family val="2"/>
    </font>
    <font>
      <b/>
      <sz val="11"/>
      <color indexed="8"/>
      <name val="Arial"/>
      <family val="2"/>
    </font>
    <font>
      <b/>
      <sz val="11"/>
      <color indexed="12"/>
      <name val="Calibri"/>
      <family val="2"/>
    </font>
    <font>
      <sz val="11"/>
      <name val="Arial"/>
      <family val="2"/>
    </font>
    <font>
      <b/>
      <sz val="11"/>
      <color indexed="12"/>
      <name val="Arial"/>
      <family val="2"/>
    </font>
    <font>
      <b/>
      <sz val="22"/>
      <name val="Cambria"/>
      <family val="1"/>
    </font>
    <font>
      <b/>
      <sz val="12"/>
      <name val="Arial MT"/>
      <family val="0"/>
    </font>
    <font>
      <b/>
      <sz val="11"/>
      <name val="Arial"/>
      <family val="2"/>
    </font>
    <font>
      <b/>
      <sz val="11"/>
      <color indexed="12"/>
      <name val="Arial Narrow"/>
      <family val="2"/>
    </font>
    <font>
      <sz val="11"/>
      <name val="Arial Narrow"/>
      <family val="2"/>
    </font>
    <font>
      <b/>
      <sz val="12"/>
      <name val="Arial Narrow"/>
      <family val="2"/>
    </font>
    <font>
      <b/>
      <u val="single"/>
      <sz val="12"/>
      <name val="Arial Narrow"/>
      <family val="2"/>
    </font>
    <font>
      <b/>
      <sz val="10"/>
      <name val="Arial Narrow"/>
      <family val="2"/>
    </font>
    <font>
      <sz val="11"/>
      <name val="Calibri"/>
      <family val="2"/>
    </font>
    <font>
      <b/>
      <sz val="11"/>
      <name val="Calibri"/>
      <family val="2"/>
    </font>
    <font>
      <sz val="12"/>
      <name val="Arial"/>
      <family val="2"/>
    </font>
    <font>
      <b/>
      <sz val="14"/>
      <name val="Arial"/>
      <family val="2"/>
    </font>
    <font>
      <b/>
      <sz val="14"/>
      <name val="Arial Narrow"/>
      <family val="2"/>
    </font>
    <font>
      <b/>
      <u val="single"/>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1"/>
      <color indexed="8"/>
      <name val="Arial"/>
      <family val="2"/>
    </font>
    <font>
      <b/>
      <sz val="12"/>
      <color indexed="12"/>
      <name val="Calibri"/>
      <family val="2"/>
    </font>
    <font>
      <b/>
      <sz val="12"/>
      <color indexed="8"/>
      <name val="Calibri"/>
      <family val="2"/>
    </font>
    <font>
      <sz val="11"/>
      <color indexed="8"/>
      <name val="Arial Narrow"/>
      <family val="2"/>
    </font>
    <font>
      <b/>
      <sz val="11"/>
      <color indexed="8"/>
      <name val="Arial Narrow"/>
      <family val="2"/>
    </font>
    <font>
      <sz val="11"/>
      <color indexed="9"/>
      <name val="Arial"/>
      <family val="2"/>
    </font>
    <font>
      <b/>
      <sz val="12"/>
      <color indexed="10"/>
      <name val="Arial"/>
      <family val="2"/>
    </font>
    <font>
      <sz val="12"/>
      <color indexed="10"/>
      <name val="Arial"/>
      <family val="2"/>
    </font>
    <font>
      <b/>
      <sz val="12"/>
      <color indexed="8"/>
      <name val="Arial Narrow"/>
      <family val="2"/>
    </font>
    <font>
      <b/>
      <sz val="11"/>
      <color indexed="9"/>
      <name val="Arial"/>
      <family val="2"/>
    </font>
    <font>
      <sz val="10"/>
      <color indexed="9"/>
      <name val="Arial"/>
      <family val="2"/>
    </font>
    <font>
      <b/>
      <sz val="12"/>
      <color indexed="9"/>
      <name val="Calibri"/>
      <family val="2"/>
    </font>
    <font>
      <b/>
      <sz val="10"/>
      <color indexed="9"/>
      <name val="Arial"/>
      <family val="2"/>
    </font>
    <font>
      <b/>
      <sz val="11"/>
      <color indexed="9"/>
      <name val="Arial MT"/>
      <family val="0"/>
    </font>
    <font>
      <b/>
      <sz val="18"/>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1"/>
      <color theme="1"/>
      <name val="Arial"/>
      <family val="2"/>
    </font>
    <font>
      <b/>
      <sz val="11"/>
      <color theme="1"/>
      <name val="Arial"/>
      <family val="2"/>
    </font>
    <font>
      <b/>
      <sz val="12"/>
      <color rgb="FF0000FF"/>
      <name val="Calibri"/>
      <family val="2"/>
    </font>
    <font>
      <b/>
      <sz val="12"/>
      <color theme="1"/>
      <name val="Calibri"/>
      <family val="2"/>
    </font>
    <font>
      <sz val="11"/>
      <color theme="1"/>
      <name val="Arial Narrow"/>
      <family val="2"/>
    </font>
    <font>
      <b/>
      <sz val="11"/>
      <color theme="1"/>
      <name val="Arial Narrow"/>
      <family val="2"/>
    </font>
    <font>
      <b/>
      <sz val="11"/>
      <color rgb="FF0000FF"/>
      <name val="Arial Narrow"/>
      <family val="2"/>
    </font>
    <font>
      <sz val="11"/>
      <color theme="0"/>
      <name val="Arial"/>
      <family val="2"/>
    </font>
    <font>
      <b/>
      <sz val="12"/>
      <color rgb="FFFF0000"/>
      <name val="Arial"/>
      <family val="2"/>
    </font>
    <font>
      <sz val="12"/>
      <color rgb="FFFF0000"/>
      <name val="Arial"/>
      <family val="2"/>
    </font>
    <font>
      <b/>
      <sz val="12"/>
      <color theme="1"/>
      <name val="Arial Narrow"/>
      <family val="2"/>
    </font>
    <font>
      <b/>
      <sz val="11"/>
      <color theme="0"/>
      <name val="Arial"/>
      <family val="2"/>
    </font>
    <font>
      <sz val="10"/>
      <color theme="0"/>
      <name val="Arial"/>
      <family val="2"/>
    </font>
    <font>
      <b/>
      <sz val="12"/>
      <color theme="0"/>
      <name val="Calibri"/>
      <family val="2"/>
    </font>
    <font>
      <b/>
      <sz val="10"/>
      <color theme="0"/>
      <name val="Arial"/>
      <family val="2"/>
    </font>
    <font>
      <b/>
      <sz val="11"/>
      <color theme="0"/>
      <name val="Arial MT"/>
      <family val="0"/>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gray0625">
        <fgColor theme="0" tint="-0.149959996342659"/>
        <bgColor theme="0"/>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gray0625">
        <fgColor theme="0"/>
        <bgColor theme="0" tint="-0.1499900072813034"/>
      </patternFill>
    </fill>
    <fill>
      <patternFill patternType="solid">
        <fgColor rgb="FFFF0000"/>
        <bgColor indexed="64"/>
      </patternFill>
    </fill>
    <fill>
      <patternFill patternType="solid">
        <fgColor theme="9" tint="-0.24997000396251678"/>
        <bgColor indexed="64"/>
      </patternFill>
    </fill>
    <fill>
      <patternFill patternType="solid">
        <fgColor theme="2" tint="-0.09996999800205231"/>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B8CCE4"/>
        <bgColor indexed="64"/>
      </patternFill>
    </fill>
    <fill>
      <patternFill patternType="solid">
        <fgColor theme="2"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medium"/>
    </border>
    <border>
      <left style="medium"/>
      <right style="thin"/>
      <top/>
      <bottom style="thin"/>
    </border>
    <border>
      <left style="thin"/>
      <right style="thin"/>
      <top/>
      <bottom style="thin"/>
    </border>
    <border>
      <left style="thin"/>
      <right/>
      <top/>
      <bottom style="thin"/>
    </border>
    <border>
      <left style="medium"/>
      <right style="medium"/>
      <top/>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bottom style="medium"/>
    </border>
    <border>
      <left style="medium"/>
      <right/>
      <top style="medium"/>
      <bottom style="medium"/>
    </border>
    <border>
      <left/>
      <right/>
      <top style="medium"/>
      <bottom style="medium"/>
    </border>
    <border>
      <left style="medium"/>
      <right style="thin"/>
      <top style="thin"/>
      <bottom style="thin"/>
    </border>
    <border>
      <left style="thin"/>
      <right style="medium"/>
      <top style="thin"/>
      <bottom style="medium"/>
    </border>
    <border>
      <left/>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top style="medium"/>
      <bottom style="thin"/>
    </border>
    <border>
      <left style="medium"/>
      <right/>
      <top style="thin"/>
      <bottom style="thin"/>
    </border>
    <border>
      <left style="medium"/>
      <right/>
      <top/>
      <bottom style="thin"/>
    </border>
    <border>
      <left style="medium"/>
      <right/>
      <top style="thin"/>
      <bottom style="medium"/>
    </border>
    <border>
      <left style="thin"/>
      <right/>
      <top style="thin"/>
      <bottom style="thin"/>
    </border>
    <border>
      <left style="medium"/>
      <right style="medium"/>
      <top style="thin"/>
      <bottom/>
    </border>
    <border>
      <left style="medium"/>
      <right style="thin"/>
      <top style="medium"/>
      <bottom/>
    </border>
    <border>
      <left style="medium"/>
      <right style="thin"/>
      <top/>
      <bottom style="medium"/>
    </border>
    <border>
      <left style="thin"/>
      <right style="medium"/>
      <top/>
      <bottom style="thin"/>
    </border>
    <border>
      <left style="thin"/>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63">
    <xf numFmtId="0" fontId="0" fillId="0" borderId="0" xfId="0" applyAlignment="1">
      <alignment/>
    </xf>
    <xf numFmtId="165" fontId="72" fillId="33" borderId="10" xfId="0" applyNumberFormat="1" applyFont="1" applyFill="1" applyBorder="1" applyAlignment="1" applyProtection="1">
      <alignment horizontal="center"/>
      <protection locked="0"/>
    </xf>
    <xf numFmtId="164" fontId="4" fillId="34" borderId="11" xfId="0" applyNumberFormat="1" applyFont="1" applyFill="1" applyBorder="1" applyAlignment="1" applyProtection="1">
      <alignment horizontal="center"/>
      <protection locked="0"/>
    </xf>
    <xf numFmtId="3" fontId="4" fillId="34" borderId="11" xfId="0" applyNumberFormat="1" applyFont="1" applyFill="1" applyBorder="1" applyAlignment="1" applyProtection="1">
      <alignment horizontal="center"/>
      <protection locked="0"/>
    </xf>
    <xf numFmtId="0" fontId="4" fillId="35" borderId="0" xfId="0" applyFont="1" applyFill="1" applyBorder="1" applyAlignment="1" applyProtection="1">
      <alignment horizontal="left"/>
      <protection/>
    </xf>
    <xf numFmtId="3" fontId="4" fillId="34" borderId="11" xfId="0" applyNumberFormat="1" applyFont="1" applyFill="1" applyBorder="1" applyAlignment="1" applyProtection="1">
      <alignment horizontal="right"/>
      <protection locked="0"/>
    </xf>
    <xf numFmtId="0" fontId="74" fillId="36" borderId="0" xfId="0" applyFont="1" applyFill="1" applyAlignment="1" applyProtection="1">
      <alignment/>
      <protection/>
    </xf>
    <xf numFmtId="0" fontId="0" fillId="36" borderId="0" xfId="0" applyFill="1" applyAlignment="1" applyProtection="1">
      <alignment/>
      <protection/>
    </xf>
    <xf numFmtId="0" fontId="72" fillId="36" borderId="0" xfId="0" applyFont="1" applyFill="1" applyAlignment="1" applyProtection="1">
      <alignment/>
      <protection/>
    </xf>
    <xf numFmtId="0" fontId="75" fillId="36" borderId="0" xfId="0" applyFont="1" applyFill="1" applyAlignment="1" applyProtection="1">
      <alignment/>
      <protection/>
    </xf>
    <xf numFmtId="164" fontId="75" fillId="36" borderId="0" xfId="0" applyNumberFormat="1" applyFont="1" applyFill="1" applyAlignment="1" applyProtection="1">
      <alignment/>
      <protection/>
    </xf>
    <xf numFmtId="0" fontId="76" fillId="36" borderId="0" xfId="0" applyFont="1" applyFill="1" applyAlignment="1" applyProtection="1">
      <alignment horizontal="center" wrapText="1"/>
      <protection/>
    </xf>
    <xf numFmtId="0" fontId="0" fillId="36" borderId="0" xfId="0" applyFill="1" applyAlignment="1" applyProtection="1">
      <alignment horizontal="center"/>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72" fillId="12" borderId="12" xfId="0" applyFont="1" applyFill="1" applyBorder="1" applyAlignment="1" applyProtection="1">
      <alignment/>
      <protection/>
    </xf>
    <xf numFmtId="165" fontId="77" fillId="12" borderId="13" xfId="0" applyNumberFormat="1" applyFont="1" applyFill="1" applyBorder="1" applyAlignment="1" applyProtection="1">
      <alignment horizontal="center"/>
      <protection/>
    </xf>
    <xf numFmtId="0" fontId="72" fillId="12" borderId="13" xfId="0" applyFont="1" applyFill="1" applyBorder="1" applyAlignment="1" applyProtection="1">
      <alignment/>
      <protection/>
    </xf>
    <xf numFmtId="0" fontId="72" fillId="12" borderId="14" xfId="0" applyFont="1" applyFill="1" applyBorder="1" applyAlignment="1" applyProtection="1">
      <alignment/>
      <protection/>
    </xf>
    <xf numFmtId="3" fontId="0" fillId="36" borderId="0" xfId="0" applyNumberFormat="1" applyFill="1" applyAlignment="1" applyProtection="1">
      <alignment horizontal="center"/>
      <protection/>
    </xf>
    <xf numFmtId="0" fontId="72" fillId="37" borderId="15" xfId="0" applyFont="1" applyFill="1" applyBorder="1" applyAlignment="1" applyProtection="1">
      <alignment/>
      <protection/>
    </xf>
    <xf numFmtId="0" fontId="72" fillId="37" borderId="16" xfId="0" applyFont="1" applyFill="1" applyBorder="1" applyAlignment="1" applyProtection="1">
      <alignment horizontal="center" wrapText="1"/>
      <protection/>
    </xf>
    <xf numFmtId="0" fontId="78" fillId="36" borderId="0" xfId="0" applyFont="1" applyFill="1" applyAlignment="1" applyProtection="1">
      <alignment/>
      <protection/>
    </xf>
    <xf numFmtId="3" fontId="0" fillId="36" borderId="0" xfId="0" applyNumberFormat="1" applyFill="1" applyAlignment="1" applyProtection="1">
      <alignment/>
      <protection/>
    </xf>
    <xf numFmtId="3" fontId="11" fillId="38" borderId="17" xfId="0" applyNumberFormat="1" applyFont="1" applyFill="1" applyBorder="1" applyAlignment="1" applyProtection="1">
      <alignment horizontal="right"/>
      <protection/>
    </xf>
    <xf numFmtId="0" fontId="79" fillId="36" borderId="0" xfId="0" applyFont="1" applyFill="1" applyAlignment="1" applyProtection="1">
      <alignment/>
      <protection/>
    </xf>
    <xf numFmtId="0" fontId="80" fillId="36" borderId="0" xfId="0" applyFont="1" applyFill="1" applyBorder="1" applyAlignment="1" applyProtection="1">
      <alignment/>
      <protection/>
    </xf>
    <xf numFmtId="0" fontId="79" fillId="36" borderId="0" xfId="0" applyFont="1" applyFill="1" applyBorder="1" applyAlignment="1" applyProtection="1">
      <alignment/>
      <protection/>
    </xf>
    <xf numFmtId="0" fontId="79" fillId="36" borderId="0" xfId="0" applyFont="1" applyFill="1" applyAlignment="1" applyProtection="1">
      <alignment horizontal="center"/>
      <protection/>
    </xf>
    <xf numFmtId="0" fontId="80" fillId="36" borderId="0" xfId="0" applyFont="1" applyFill="1" applyAlignment="1" applyProtection="1">
      <alignment/>
      <protection/>
    </xf>
    <xf numFmtId="0" fontId="0" fillId="0" borderId="0" xfId="0" applyAlignment="1" applyProtection="1">
      <alignment/>
      <protection/>
    </xf>
    <xf numFmtId="0" fontId="5" fillId="37" borderId="12" xfId="0" applyFont="1" applyFill="1" applyBorder="1" applyAlignment="1" applyProtection="1">
      <alignment/>
      <protection/>
    </xf>
    <xf numFmtId="0" fontId="0" fillId="37" borderId="13" xfId="0" applyFill="1" applyBorder="1" applyAlignment="1" applyProtection="1">
      <alignment/>
      <protection/>
    </xf>
    <xf numFmtId="3" fontId="11" fillId="38" borderId="10" xfId="0" applyNumberFormat="1" applyFont="1" applyFill="1" applyBorder="1" applyAlignment="1" applyProtection="1">
      <alignment horizontal="center"/>
      <protection/>
    </xf>
    <xf numFmtId="0" fontId="72" fillId="37" borderId="13" xfId="0" applyFont="1" applyFill="1" applyBorder="1" applyAlignment="1" applyProtection="1">
      <alignment/>
      <protection/>
    </xf>
    <xf numFmtId="0" fontId="5" fillId="37" borderId="18" xfId="0" applyFont="1" applyFill="1" applyBorder="1" applyAlignment="1" applyProtection="1">
      <alignment/>
      <protection/>
    </xf>
    <xf numFmtId="0" fontId="0" fillId="37" borderId="0" xfId="0" applyFill="1" applyBorder="1" applyAlignment="1" applyProtection="1">
      <alignment/>
      <protection/>
    </xf>
    <xf numFmtId="0" fontId="0" fillId="37" borderId="19" xfId="0" applyFill="1" applyBorder="1" applyAlignment="1" applyProtection="1">
      <alignment/>
      <protection/>
    </xf>
    <xf numFmtId="0" fontId="19" fillId="37" borderId="18" xfId="0" applyFont="1" applyFill="1" applyBorder="1" applyAlignment="1" applyProtection="1">
      <alignment/>
      <protection/>
    </xf>
    <xf numFmtId="0" fontId="5" fillId="37" borderId="20" xfId="0" applyFont="1" applyFill="1" applyBorder="1" applyAlignment="1" applyProtection="1">
      <alignment/>
      <protection/>
    </xf>
    <xf numFmtId="0" fontId="0" fillId="37" borderId="21" xfId="0" applyFill="1" applyBorder="1" applyAlignment="1" applyProtection="1">
      <alignment/>
      <protection/>
    </xf>
    <xf numFmtId="0" fontId="0" fillId="37" borderId="22" xfId="0" applyFill="1" applyBorder="1" applyAlignment="1" applyProtection="1">
      <alignment/>
      <protection/>
    </xf>
    <xf numFmtId="0" fontId="5" fillId="37" borderId="13" xfId="0" applyFont="1" applyFill="1" applyBorder="1" applyAlignment="1" applyProtection="1">
      <alignment/>
      <protection/>
    </xf>
    <xf numFmtId="0" fontId="5" fillId="37" borderId="21" xfId="0" applyFont="1" applyFill="1" applyBorder="1" applyAlignment="1" applyProtection="1">
      <alignment/>
      <protection/>
    </xf>
    <xf numFmtId="0" fontId="12" fillId="37" borderId="10" xfId="0" applyFont="1" applyFill="1" applyBorder="1" applyAlignment="1" applyProtection="1">
      <alignment/>
      <protection/>
    </xf>
    <xf numFmtId="0" fontId="80" fillId="37" borderId="12" xfId="0" applyFont="1" applyFill="1" applyBorder="1" applyAlignment="1" applyProtection="1">
      <alignment horizontal="left"/>
      <protection/>
    </xf>
    <xf numFmtId="0" fontId="80" fillId="37" borderId="13" xfId="0" applyFont="1" applyFill="1" applyBorder="1" applyAlignment="1" applyProtection="1">
      <alignment horizontal="left"/>
      <protection/>
    </xf>
    <xf numFmtId="0" fontId="80" fillId="33" borderId="10" xfId="0" applyFont="1" applyFill="1" applyBorder="1" applyAlignment="1" applyProtection="1">
      <alignment horizontal="center"/>
      <protection locked="0"/>
    </xf>
    <xf numFmtId="0" fontId="80" fillId="37" borderId="18" xfId="0" applyFont="1" applyFill="1" applyBorder="1" applyAlignment="1" applyProtection="1">
      <alignment/>
      <protection/>
    </xf>
    <xf numFmtId="0" fontId="81" fillId="37" borderId="0" xfId="0" applyFont="1" applyFill="1" applyBorder="1" applyAlignment="1" applyProtection="1">
      <alignment horizontal="center"/>
      <protection/>
    </xf>
    <xf numFmtId="0" fontId="79" fillId="37" borderId="19" xfId="0" applyFont="1" applyFill="1" applyBorder="1" applyAlignment="1" applyProtection="1">
      <alignment/>
      <protection/>
    </xf>
    <xf numFmtId="0" fontId="80" fillId="37" borderId="18" xfId="0" applyFont="1" applyFill="1" applyBorder="1" applyAlignment="1" applyProtection="1">
      <alignment horizontal="left"/>
      <protection/>
    </xf>
    <xf numFmtId="0" fontId="79" fillId="37" borderId="0" xfId="0" applyFont="1" applyFill="1" applyBorder="1" applyAlignment="1" applyProtection="1">
      <alignment/>
      <protection/>
    </xf>
    <xf numFmtId="0" fontId="81" fillId="37" borderId="18" xfId="0" applyFont="1" applyFill="1" applyBorder="1" applyAlignment="1" applyProtection="1">
      <alignment horizontal="left"/>
      <protection/>
    </xf>
    <xf numFmtId="0" fontId="80" fillId="37" borderId="19" xfId="0" applyFont="1" applyFill="1" applyBorder="1" applyAlignment="1" applyProtection="1">
      <alignment/>
      <protection/>
    </xf>
    <xf numFmtId="0" fontId="81" fillId="37" borderId="19" xfId="0" applyFont="1" applyFill="1" applyBorder="1" applyAlignment="1" applyProtection="1">
      <alignment horizontal="center"/>
      <protection/>
    </xf>
    <xf numFmtId="0" fontId="80" fillId="37" borderId="20" xfId="0" applyFont="1" applyFill="1" applyBorder="1" applyAlignment="1" applyProtection="1">
      <alignment horizontal="right"/>
      <protection/>
    </xf>
    <xf numFmtId="0" fontId="80" fillId="37" borderId="23" xfId="0" applyFont="1" applyFill="1" applyBorder="1" applyAlignment="1" applyProtection="1">
      <alignment horizontal="right"/>
      <protection/>
    </xf>
    <xf numFmtId="0" fontId="80" fillId="36" borderId="18" xfId="0" applyFont="1" applyFill="1" applyBorder="1" applyAlignment="1" applyProtection="1">
      <alignment/>
      <protection/>
    </xf>
    <xf numFmtId="0" fontId="80" fillId="36" borderId="0" xfId="0" applyFont="1" applyFill="1" applyBorder="1" applyAlignment="1" applyProtection="1">
      <alignment horizontal="right"/>
      <protection/>
    </xf>
    <xf numFmtId="167" fontId="80" fillId="36" borderId="19" xfId="0" applyNumberFormat="1" applyFont="1" applyFill="1" applyBorder="1" applyAlignment="1" applyProtection="1">
      <alignment horizontal="left"/>
      <protection/>
    </xf>
    <xf numFmtId="0" fontId="3" fillId="36" borderId="0" xfId="0" applyFont="1" applyFill="1" applyBorder="1" applyAlignment="1" applyProtection="1">
      <alignment/>
      <protection/>
    </xf>
    <xf numFmtId="0" fontId="3" fillId="36" borderId="14" xfId="0" applyFont="1" applyFill="1" applyBorder="1" applyAlignment="1" applyProtection="1">
      <alignment/>
      <protection/>
    </xf>
    <xf numFmtId="0" fontId="79" fillId="36" borderId="20" xfId="0" applyFont="1" applyFill="1" applyBorder="1" applyAlignment="1" applyProtection="1">
      <alignment/>
      <protection/>
    </xf>
    <xf numFmtId="0" fontId="79" fillId="36" borderId="21" xfId="0" applyFont="1" applyFill="1" applyBorder="1" applyAlignment="1" applyProtection="1">
      <alignment/>
      <protection/>
    </xf>
    <xf numFmtId="0" fontId="80" fillId="36" borderId="21" xfId="0" applyFont="1" applyFill="1" applyBorder="1" applyAlignment="1" applyProtection="1">
      <alignment horizontal="right"/>
      <protection/>
    </xf>
    <xf numFmtId="167" fontId="80" fillId="36" borderId="22" xfId="0" applyNumberFormat="1" applyFont="1" applyFill="1" applyBorder="1" applyAlignment="1" applyProtection="1">
      <alignment horizontal="left"/>
      <protection/>
    </xf>
    <xf numFmtId="0" fontId="14" fillId="36" borderId="14" xfId="0" applyFont="1" applyFill="1" applyBorder="1" applyAlignment="1" applyProtection="1">
      <alignment/>
      <protection/>
    </xf>
    <xf numFmtId="0" fontId="14" fillId="36" borderId="24" xfId="0" applyFont="1" applyFill="1" applyBorder="1" applyAlignment="1" applyProtection="1">
      <alignment/>
      <protection/>
    </xf>
    <xf numFmtId="0" fontId="14" fillId="36" borderId="25" xfId="0" applyFont="1" applyFill="1" applyBorder="1" applyAlignment="1" applyProtection="1">
      <alignment/>
      <protection/>
    </xf>
    <xf numFmtId="0" fontId="14" fillId="39" borderId="26" xfId="0" applyFont="1" applyFill="1" applyBorder="1" applyAlignment="1" applyProtection="1">
      <alignment horizontal="left"/>
      <protection/>
    </xf>
    <xf numFmtId="0" fontId="14" fillId="36" borderId="27" xfId="0" applyFont="1" applyFill="1" applyBorder="1" applyAlignment="1" applyProtection="1">
      <alignment/>
      <protection/>
    </xf>
    <xf numFmtId="0" fontId="14" fillId="36" borderId="0" xfId="0" applyFont="1" applyFill="1" applyAlignment="1" applyProtection="1">
      <alignment/>
      <protection/>
    </xf>
    <xf numFmtId="0" fontId="14" fillId="36" borderId="28" xfId="0" applyFont="1" applyFill="1" applyBorder="1" applyAlignment="1" applyProtection="1">
      <alignment/>
      <protection/>
    </xf>
    <xf numFmtId="0" fontId="14" fillId="36" borderId="29" xfId="0" applyFont="1" applyFill="1" applyBorder="1" applyAlignment="1" applyProtection="1">
      <alignment/>
      <protection/>
    </xf>
    <xf numFmtId="0" fontId="14" fillId="39" borderId="30" xfId="0" applyFont="1" applyFill="1" applyBorder="1" applyAlignment="1" applyProtection="1">
      <alignment horizontal="left"/>
      <protection/>
    </xf>
    <xf numFmtId="0" fontId="3" fillId="36" borderId="27" xfId="0" applyFont="1" applyFill="1" applyBorder="1" applyAlignment="1" applyProtection="1">
      <alignment/>
      <protection/>
    </xf>
    <xf numFmtId="168" fontId="15" fillId="40" borderId="18" xfId="0" applyNumberFormat="1" applyFont="1" applyFill="1" applyBorder="1" applyAlignment="1" applyProtection="1">
      <alignment horizontal="center"/>
      <protection/>
    </xf>
    <xf numFmtId="168" fontId="16" fillId="40" borderId="0" xfId="0" applyNumberFormat="1" applyFont="1" applyFill="1" applyBorder="1" applyAlignment="1" applyProtection="1">
      <alignment horizontal="center"/>
      <protection/>
    </xf>
    <xf numFmtId="168" fontId="15" fillId="40" borderId="0" xfId="0" applyNumberFormat="1" applyFont="1" applyFill="1" applyBorder="1" applyAlignment="1" applyProtection="1">
      <alignment horizontal="center"/>
      <protection/>
    </xf>
    <xf numFmtId="168" fontId="15" fillId="40" borderId="18" xfId="0" applyNumberFormat="1" applyFont="1" applyFill="1" applyBorder="1" applyAlignment="1" applyProtection="1">
      <alignment horizontal="right"/>
      <protection/>
    </xf>
    <xf numFmtId="168" fontId="17" fillId="40" borderId="28" xfId="0" applyNumberFormat="1" applyFont="1" applyFill="1" applyBorder="1" applyAlignment="1" applyProtection="1">
      <alignment horizontal="right"/>
      <protection/>
    </xf>
    <xf numFmtId="4" fontId="15" fillId="40" borderId="29" xfId="0" applyNumberFormat="1" applyFont="1" applyFill="1" applyBorder="1" applyAlignment="1" applyProtection="1">
      <alignment horizontal="center"/>
      <protection/>
    </xf>
    <xf numFmtId="168" fontId="15" fillId="40" borderId="30" xfId="0" applyNumberFormat="1" applyFont="1" applyFill="1" applyBorder="1" applyAlignment="1" applyProtection="1">
      <alignment horizontal="center"/>
      <protection/>
    </xf>
    <xf numFmtId="0" fontId="14" fillId="36" borderId="31" xfId="0" applyFont="1" applyFill="1" applyBorder="1" applyAlignment="1" applyProtection="1">
      <alignment/>
      <protection/>
    </xf>
    <xf numFmtId="0" fontId="14" fillId="36" borderId="0" xfId="0" applyFont="1" applyFill="1" applyAlignment="1" applyProtection="1">
      <alignment horizontal="center"/>
      <protection/>
    </xf>
    <xf numFmtId="0" fontId="81" fillId="37" borderId="0" xfId="0" applyFont="1" applyFill="1" applyBorder="1" applyAlignment="1" applyProtection="1">
      <alignment horizontal="left"/>
      <protection/>
    </xf>
    <xf numFmtId="0" fontId="5" fillId="37" borderId="18" xfId="0" applyFont="1" applyFill="1" applyBorder="1" applyAlignment="1" applyProtection="1">
      <alignment horizontal="left"/>
      <protection/>
    </xf>
    <xf numFmtId="0" fontId="5" fillId="37" borderId="0" xfId="0" applyFont="1" applyFill="1" applyBorder="1" applyAlignment="1" applyProtection="1">
      <alignment horizontal="left"/>
      <protection/>
    </xf>
    <xf numFmtId="0" fontId="5" fillId="37" borderId="19" xfId="0" applyFont="1" applyFill="1" applyBorder="1" applyAlignment="1" applyProtection="1">
      <alignment horizontal="left"/>
      <protection/>
    </xf>
    <xf numFmtId="0" fontId="80" fillId="37" borderId="20" xfId="0" applyFont="1" applyFill="1" applyBorder="1" applyAlignment="1" applyProtection="1">
      <alignment/>
      <protection/>
    </xf>
    <xf numFmtId="0" fontId="81" fillId="37" borderId="21" xfId="0" applyFont="1" applyFill="1" applyBorder="1" applyAlignment="1" applyProtection="1">
      <alignment horizontal="center"/>
      <protection/>
    </xf>
    <xf numFmtId="0" fontId="72" fillId="37" borderId="32" xfId="0" applyFont="1" applyFill="1" applyBorder="1" applyAlignment="1" applyProtection="1">
      <alignment horizontal="right"/>
      <protection/>
    </xf>
    <xf numFmtId="0" fontId="72" fillId="37" borderId="33" xfId="0" applyFont="1" applyFill="1" applyBorder="1" applyAlignment="1" applyProtection="1">
      <alignment horizontal="right"/>
      <protection/>
    </xf>
    <xf numFmtId="0" fontId="0" fillId="41" borderId="34" xfId="0" applyFill="1" applyBorder="1" applyAlignment="1" applyProtection="1">
      <alignment/>
      <protection/>
    </xf>
    <xf numFmtId="0" fontId="0" fillId="41" borderId="34" xfId="0" applyFont="1" applyFill="1" applyBorder="1" applyAlignment="1" applyProtection="1">
      <alignment/>
      <protection/>
    </xf>
    <xf numFmtId="0" fontId="0" fillId="41" borderId="28" xfId="0" applyFill="1" applyBorder="1" applyAlignment="1" applyProtection="1">
      <alignment/>
      <protection/>
    </xf>
    <xf numFmtId="0" fontId="3" fillId="35" borderId="0" xfId="0" applyFont="1" applyFill="1" applyBorder="1" applyAlignment="1" applyProtection="1">
      <alignment horizontal="right"/>
      <protection/>
    </xf>
    <xf numFmtId="166" fontId="4" fillId="34" borderId="11" xfId="0" applyNumberFormat="1" applyFont="1" applyFill="1" applyBorder="1" applyAlignment="1" applyProtection="1">
      <alignment horizontal="center"/>
      <protection locked="0"/>
    </xf>
    <xf numFmtId="0" fontId="0" fillId="0" borderId="0" xfId="0" applyFont="1" applyAlignment="1" applyProtection="1">
      <alignment horizontal="left" wrapText="1"/>
      <protection/>
    </xf>
    <xf numFmtId="0" fontId="0" fillId="36" borderId="0" xfId="0" applyFont="1" applyFill="1" applyAlignment="1" applyProtection="1">
      <alignment horizontal="center"/>
      <protection/>
    </xf>
    <xf numFmtId="0" fontId="5" fillId="37" borderId="21" xfId="0" applyFont="1" applyFill="1" applyBorder="1" applyAlignment="1" applyProtection="1">
      <alignment horizontal="right"/>
      <protection/>
    </xf>
    <xf numFmtId="0" fontId="0" fillId="0" borderId="0" xfId="0" applyFont="1" applyAlignment="1" applyProtection="1">
      <alignment wrapText="1"/>
      <protection/>
    </xf>
    <xf numFmtId="0" fontId="8" fillId="0" borderId="0" xfId="0" applyFont="1" applyAlignment="1" applyProtection="1">
      <alignment wrapText="1"/>
      <protection/>
    </xf>
    <xf numFmtId="0" fontId="20" fillId="0" borderId="0" xfId="0" applyFont="1" applyAlignment="1" applyProtection="1">
      <alignment horizontal="left" wrapText="1"/>
      <protection/>
    </xf>
    <xf numFmtId="49" fontId="0" fillId="0" borderId="0" xfId="0" applyNumberFormat="1" applyAlignment="1" applyProtection="1">
      <alignment/>
      <protection/>
    </xf>
    <xf numFmtId="49" fontId="79" fillId="36" borderId="0" xfId="0" applyNumberFormat="1" applyFont="1" applyFill="1" applyAlignment="1" applyProtection="1">
      <alignment/>
      <protection/>
    </xf>
    <xf numFmtId="49" fontId="0" fillId="36" borderId="0" xfId="0" applyNumberFormat="1" applyFill="1" applyAlignment="1" applyProtection="1">
      <alignment/>
      <protection/>
    </xf>
    <xf numFmtId="49" fontId="21" fillId="0" borderId="0" xfId="0" applyNumberFormat="1" applyFont="1" applyAlignment="1" applyProtection="1">
      <alignment horizontal="center"/>
      <protection/>
    </xf>
    <xf numFmtId="0" fontId="22" fillId="35" borderId="0" xfId="0" applyFont="1" applyFill="1" applyBorder="1" applyAlignment="1" applyProtection="1">
      <alignment horizontal="left"/>
      <protection/>
    </xf>
    <xf numFmtId="1" fontId="11" fillId="34" borderId="11" xfId="0" applyNumberFormat="1" applyFont="1" applyFill="1" applyBorder="1" applyAlignment="1" applyProtection="1">
      <alignment horizontal="left"/>
      <protection/>
    </xf>
    <xf numFmtId="0" fontId="80" fillId="33" borderId="11" xfId="0" applyFont="1" applyFill="1" applyBorder="1" applyAlignment="1" applyProtection="1">
      <alignment horizontal="center" wrapText="1"/>
      <protection/>
    </xf>
    <xf numFmtId="0" fontId="3" fillId="35" borderId="21" xfId="0" applyFont="1" applyFill="1" applyBorder="1" applyAlignment="1" applyProtection="1">
      <alignment horizontal="right"/>
      <protection/>
    </xf>
    <xf numFmtId="1" fontId="11" fillId="38" borderId="35" xfId="0" applyNumberFormat="1" applyFont="1" applyFill="1" applyBorder="1" applyAlignment="1" applyProtection="1">
      <alignment/>
      <protection/>
    </xf>
    <xf numFmtId="0" fontId="0" fillId="36" borderId="18" xfId="0" applyFill="1" applyBorder="1" applyAlignment="1" applyProtection="1">
      <alignment/>
      <protection/>
    </xf>
    <xf numFmtId="0" fontId="0" fillId="36" borderId="20" xfId="0" applyFill="1" applyBorder="1" applyAlignment="1" applyProtection="1">
      <alignment/>
      <protection/>
    </xf>
    <xf numFmtId="0" fontId="5" fillId="36" borderId="13" xfId="0" applyFont="1" applyFill="1" applyBorder="1" applyAlignment="1" applyProtection="1">
      <alignment/>
      <protection/>
    </xf>
    <xf numFmtId="0" fontId="0" fillId="36" borderId="21" xfId="0" applyFill="1" applyBorder="1" applyAlignment="1" applyProtection="1">
      <alignment/>
      <protection/>
    </xf>
    <xf numFmtId="0" fontId="23" fillId="36" borderId="12" xfId="0" applyFont="1" applyFill="1" applyBorder="1" applyAlignment="1" applyProtection="1">
      <alignment/>
      <protection/>
    </xf>
    <xf numFmtId="0" fontId="74" fillId="42" borderId="32" xfId="0" applyFont="1" applyFill="1" applyBorder="1" applyAlignment="1" applyProtection="1">
      <alignment/>
      <protection/>
    </xf>
    <xf numFmtId="0" fontId="20" fillId="42" borderId="33" xfId="0" applyFont="1" applyFill="1" applyBorder="1" applyAlignment="1" applyProtection="1">
      <alignment horizontal="left" wrapText="1"/>
      <protection/>
    </xf>
    <xf numFmtId="0" fontId="20" fillId="42" borderId="36" xfId="0" applyFont="1" applyFill="1" applyBorder="1" applyAlignment="1" applyProtection="1">
      <alignment horizontal="left" wrapText="1"/>
      <protection/>
    </xf>
    <xf numFmtId="0" fontId="20" fillId="42" borderId="33" xfId="0" applyFont="1" applyFill="1" applyBorder="1" applyAlignment="1" applyProtection="1">
      <alignment/>
      <protection/>
    </xf>
    <xf numFmtId="0" fontId="0" fillId="42" borderId="36" xfId="0" applyFill="1" applyBorder="1" applyAlignment="1" applyProtection="1">
      <alignment/>
      <protection/>
    </xf>
    <xf numFmtId="0" fontId="82" fillId="36" borderId="0" xfId="0" applyFont="1" applyFill="1" applyAlignment="1" applyProtection="1">
      <alignment/>
      <protection/>
    </xf>
    <xf numFmtId="0" fontId="5" fillId="36" borderId="0" xfId="0" applyFont="1" applyFill="1" applyAlignment="1" applyProtection="1">
      <alignment/>
      <protection/>
    </xf>
    <xf numFmtId="0" fontId="8" fillId="36" borderId="0" xfId="0" applyFont="1" applyFill="1" applyAlignment="1" applyProtection="1">
      <alignment/>
      <protection/>
    </xf>
    <xf numFmtId="0" fontId="23"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10" fillId="0" borderId="0" xfId="0" applyFont="1" applyAlignment="1" applyProtection="1">
      <alignment horizontal="center"/>
      <protection/>
    </xf>
    <xf numFmtId="0" fontId="5" fillId="0" borderId="0" xfId="0" applyFont="1" applyAlignment="1" applyProtection="1">
      <alignment/>
      <protection/>
    </xf>
    <xf numFmtId="0" fontId="0" fillId="0" borderId="0" xfId="0" applyFont="1" applyAlignment="1" applyProtection="1">
      <alignment/>
      <protection/>
    </xf>
    <xf numFmtId="0" fontId="83" fillId="43" borderId="32" xfId="0" applyFont="1" applyFill="1" applyBorder="1" applyAlignment="1" applyProtection="1">
      <alignment/>
      <protection/>
    </xf>
    <xf numFmtId="0" fontId="84" fillId="43" borderId="33" xfId="0" applyFont="1" applyFill="1" applyBorder="1" applyAlignment="1" applyProtection="1">
      <alignment/>
      <protection/>
    </xf>
    <xf numFmtId="0" fontId="84" fillId="43" borderId="36" xfId="0" applyFont="1" applyFill="1" applyBorder="1" applyAlignment="1" applyProtection="1">
      <alignment/>
      <protection/>
    </xf>
    <xf numFmtId="0" fontId="80" fillId="33" borderId="10" xfId="0" applyFont="1" applyFill="1" applyBorder="1" applyAlignment="1" applyProtection="1">
      <alignment horizontal="center"/>
      <protection/>
    </xf>
    <xf numFmtId="165" fontId="11" fillId="34" borderId="37" xfId="0" applyNumberFormat="1" applyFont="1" applyFill="1" applyBorder="1" applyAlignment="1" applyProtection="1">
      <alignment horizontal="center"/>
      <protection/>
    </xf>
    <xf numFmtId="0" fontId="0" fillId="0" borderId="0" xfId="0" applyFill="1" applyAlignment="1" applyProtection="1">
      <alignment/>
      <protection/>
    </xf>
    <xf numFmtId="168" fontId="11" fillId="34" borderId="37" xfId="0" applyNumberFormat="1" applyFont="1" applyFill="1" applyBorder="1" applyAlignment="1" applyProtection="1">
      <alignment horizontal="center"/>
      <protection/>
    </xf>
    <xf numFmtId="49" fontId="85" fillId="44" borderId="10" xfId="0" applyNumberFormat="1" applyFont="1" applyFill="1" applyBorder="1" applyAlignment="1" applyProtection="1">
      <alignment horizontal="center"/>
      <protection/>
    </xf>
    <xf numFmtId="0" fontId="0" fillId="36" borderId="14" xfId="0" applyFill="1" applyBorder="1" applyAlignment="1" applyProtection="1">
      <alignment/>
      <protection/>
    </xf>
    <xf numFmtId="164" fontId="11" fillId="38" borderId="17" xfId="0" applyNumberFormat="1" applyFont="1" applyFill="1" applyBorder="1" applyAlignment="1" applyProtection="1">
      <alignment horizontal="center"/>
      <protection/>
    </xf>
    <xf numFmtId="164" fontId="11" fillId="38" borderId="38" xfId="0" applyNumberFormat="1" applyFont="1" applyFill="1" applyBorder="1" applyAlignment="1" applyProtection="1">
      <alignment horizontal="center"/>
      <protection/>
    </xf>
    <xf numFmtId="165" fontId="11" fillId="38" borderId="39" xfId="0" applyNumberFormat="1" applyFont="1" applyFill="1" applyBorder="1" applyAlignment="1" applyProtection="1">
      <alignment horizontal="center"/>
      <protection/>
    </xf>
    <xf numFmtId="165" fontId="11" fillId="38" borderId="31" xfId="0" applyNumberFormat="1" applyFont="1" applyFill="1" applyBorder="1" applyAlignment="1" applyProtection="1">
      <alignment horizontal="center"/>
      <protection/>
    </xf>
    <xf numFmtId="0" fontId="0" fillId="36" borderId="13" xfId="0" applyFill="1" applyBorder="1" applyAlignment="1" applyProtection="1">
      <alignment/>
      <protection/>
    </xf>
    <xf numFmtId="49" fontId="76" fillId="36" borderId="0" xfId="0" applyNumberFormat="1" applyFont="1" applyFill="1" applyBorder="1" applyAlignment="1" applyProtection="1">
      <alignment horizontal="left"/>
      <protection/>
    </xf>
    <xf numFmtId="0" fontId="76" fillId="36" borderId="0" xfId="0" applyFont="1" applyFill="1" applyBorder="1" applyAlignment="1" applyProtection="1">
      <alignment/>
      <protection/>
    </xf>
    <xf numFmtId="0" fontId="86" fillId="36" borderId="0" xfId="0" applyFont="1" applyFill="1" applyBorder="1" applyAlignment="1" applyProtection="1">
      <alignment/>
      <protection/>
    </xf>
    <xf numFmtId="0" fontId="61" fillId="36" borderId="32" xfId="0" applyFont="1" applyFill="1" applyBorder="1" applyAlignment="1" applyProtection="1">
      <alignment/>
      <protection/>
    </xf>
    <xf numFmtId="0" fontId="87" fillId="36" borderId="33" xfId="0" applyFont="1" applyFill="1" applyBorder="1" applyAlignment="1" applyProtection="1">
      <alignment/>
      <protection/>
    </xf>
    <xf numFmtId="165" fontId="61" fillId="36" borderId="10" xfId="0" applyNumberFormat="1" applyFont="1" applyFill="1" applyBorder="1" applyAlignment="1" applyProtection="1">
      <alignment horizontal="center"/>
      <protection/>
    </xf>
    <xf numFmtId="165" fontId="88" fillId="36" borderId="33" xfId="0" applyNumberFormat="1" applyFont="1" applyFill="1" applyBorder="1" applyAlignment="1" applyProtection="1">
      <alignment horizontal="center"/>
      <protection/>
    </xf>
    <xf numFmtId="165" fontId="89" fillId="36" borderId="10" xfId="0" applyNumberFormat="1" applyFont="1" applyFill="1" applyBorder="1" applyAlignment="1" applyProtection="1">
      <alignment horizontal="center"/>
      <protection/>
    </xf>
    <xf numFmtId="0" fontId="72" fillId="37" borderId="32" xfId="0" applyFont="1" applyFill="1" applyBorder="1" applyAlignment="1" applyProtection="1">
      <alignment/>
      <protection/>
    </xf>
    <xf numFmtId="165" fontId="77" fillId="37" borderId="33" xfId="0" applyNumberFormat="1" applyFont="1" applyFill="1" applyBorder="1" applyAlignment="1" applyProtection="1">
      <alignment horizontal="center"/>
      <protection/>
    </xf>
    <xf numFmtId="0" fontId="72" fillId="37" borderId="10" xfId="0" applyFont="1" applyFill="1" applyBorder="1" applyAlignment="1" applyProtection="1">
      <alignment/>
      <protection/>
    </xf>
    <xf numFmtId="165" fontId="75" fillId="36" borderId="0" xfId="0" applyNumberFormat="1" applyFont="1" applyFill="1" applyAlignment="1" applyProtection="1">
      <alignment/>
      <protection/>
    </xf>
    <xf numFmtId="0" fontId="76" fillId="37" borderId="12" xfId="0" applyFont="1" applyFill="1" applyBorder="1" applyAlignment="1" applyProtection="1">
      <alignment horizontal="center" vertical="top" wrapText="1"/>
      <protection/>
    </xf>
    <xf numFmtId="0" fontId="76" fillId="37" borderId="10" xfId="0" applyFont="1" applyFill="1" applyBorder="1" applyAlignment="1" applyProtection="1">
      <alignment horizontal="center" vertical="top" wrapText="1"/>
      <protection/>
    </xf>
    <xf numFmtId="0" fontId="76" fillId="41" borderId="40" xfId="0" applyFont="1" applyFill="1" applyBorder="1" applyAlignment="1" applyProtection="1">
      <alignment vertical="top" wrapText="1"/>
      <protection/>
    </xf>
    <xf numFmtId="0" fontId="76" fillId="41" borderId="41" xfId="0" applyFont="1" applyFill="1" applyBorder="1" applyAlignment="1" applyProtection="1">
      <alignment vertical="top" wrapText="1"/>
      <protection/>
    </xf>
    <xf numFmtId="0" fontId="76" fillId="41" borderId="42" xfId="0" applyFont="1" applyFill="1" applyBorder="1" applyAlignment="1" applyProtection="1">
      <alignment vertical="top" wrapText="1"/>
      <protection/>
    </xf>
    <xf numFmtId="0" fontId="76" fillId="41" borderId="43" xfId="0" applyFont="1" applyFill="1" applyBorder="1" applyAlignment="1" applyProtection="1">
      <alignment vertical="top" wrapText="1"/>
      <protection/>
    </xf>
    <xf numFmtId="0" fontId="76" fillId="41" borderId="20" xfId="0" applyFont="1" applyFill="1" applyBorder="1" applyAlignment="1" applyProtection="1">
      <alignment vertical="top" wrapText="1"/>
      <protection/>
    </xf>
    <xf numFmtId="0" fontId="76" fillId="36" borderId="0" xfId="0" applyFont="1" applyFill="1" applyAlignment="1" applyProtection="1">
      <alignment/>
      <protection/>
    </xf>
    <xf numFmtId="0" fontId="12" fillId="36" borderId="0" xfId="0" applyFont="1" applyFill="1" applyAlignment="1" applyProtection="1">
      <alignment horizontal="center" wrapText="1"/>
      <protection/>
    </xf>
    <xf numFmtId="0" fontId="76" fillId="36" borderId="0" xfId="0" applyFont="1" applyFill="1" applyAlignment="1" applyProtection="1">
      <alignment vertical="top"/>
      <protection/>
    </xf>
    <xf numFmtId="0" fontId="19" fillId="45" borderId="36" xfId="0" applyFont="1" applyFill="1" applyBorder="1" applyAlignment="1" applyProtection="1">
      <alignment horizontal="center" wrapText="1"/>
      <protection/>
    </xf>
    <xf numFmtId="0" fontId="18" fillId="0" borderId="14" xfId="0" applyFont="1" applyBorder="1" applyAlignment="1" applyProtection="1">
      <alignment horizontal="center" wrapText="1"/>
      <protection/>
    </xf>
    <xf numFmtId="0" fontId="18" fillId="45" borderId="19" xfId="0" applyFont="1" applyFill="1" applyBorder="1" applyAlignment="1" applyProtection="1">
      <alignment horizontal="center" wrapText="1"/>
      <protection/>
    </xf>
    <xf numFmtId="0" fontId="18" fillId="0" borderId="19" xfId="0" applyFont="1" applyBorder="1" applyAlignment="1" applyProtection="1">
      <alignment horizontal="center" wrapText="1"/>
      <protection/>
    </xf>
    <xf numFmtId="0" fontId="18" fillId="45" borderId="22" xfId="0" applyFont="1" applyFill="1" applyBorder="1" applyAlignment="1" applyProtection="1">
      <alignment horizontal="center" wrapText="1"/>
      <protection/>
    </xf>
    <xf numFmtId="3" fontId="4" fillId="34" borderId="38" xfId="0" applyNumberFormat="1" applyFont="1" applyFill="1" applyBorder="1" applyAlignment="1" applyProtection="1">
      <alignment horizontal="center" vertical="center"/>
      <protection locked="0"/>
    </xf>
    <xf numFmtId="3" fontId="11" fillId="38" borderId="39" xfId="0" applyNumberFormat="1" applyFont="1" applyFill="1" applyBorder="1" applyAlignment="1" applyProtection="1">
      <alignment horizontal="center" vertical="center"/>
      <protection/>
    </xf>
    <xf numFmtId="0" fontId="5" fillId="37" borderId="12" xfId="0" applyFont="1" applyFill="1" applyBorder="1" applyAlignment="1" applyProtection="1">
      <alignment horizontal="left"/>
      <protection/>
    </xf>
    <xf numFmtId="0" fontId="5" fillId="37" borderId="13" xfId="0" applyFont="1" applyFill="1" applyBorder="1" applyAlignment="1" applyProtection="1">
      <alignment horizontal="left"/>
      <protection/>
    </xf>
    <xf numFmtId="0" fontId="5" fillId="37" borderId="14" xfId="0" applyFont="1" applyFill="1" applyBorder="1" applyAlignment="1" applyProtection="1">
      <alignment horizontal="left"/>
      <protection/>
    </xf>
    <xf numFmtId="165" fontId="11" fillId="34" borderId="11" xfId="0" applyNumberFormat="1" applyFont="1" applyFill="1" applyBorder="1" applyAlignment="1" applyProtection="1">
      <alignment horizontal="center"/>
      <protection locked="0"/>
    </xf>
    <xf numFmtId="165" fontId="11" fillId="34" borderId="35" xfId="0" applyNumberFormat="1" applyFont="1" applyFill="1" applyBorder="1" applyAlignment="1" applyProtection="1">
      <alignment horizontal="center"/>
      <protection locked="0"/>
    </xf>
    <xf numFmtId="3" fontId="4" fillId="34" borderId="11"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3" fontId="4" fillId="34" borderId="44" xfId="0" applyNumberFormat="1" applyFont="1" applyFill="1" applyBorder="1" applyAlignment="1" applyProtection="1">
      <alignment horizontal="left"/>
      <protection locked="0"/>
    </xf>
    <xf numFmtId="164" fontId="4" fillId="34" borderId="17" xfId="0" applyNumberFormat="1" applyFont="1" applyFill="1" applyBorder="1" applyAlignment="1" applyProtection="1">
      <alignment horizontal="center"/>
      <protection locked="0"/>
    </xf>
    <xf numFmtId="164" fontId="4" fillId="34" borderId="45" xfId="0" applyNumberFormat="1" applyFont="1" applyFill="1" applyBorder="1" applyAlignment="1" applyProtection="1">
      <alignment horizontal="center"/>
      <protection locked="0"/>
    </xf>
    <xf numFmtId="0" fontId="82" fillId="37" borderId="0" xfId="0" applyFont="1" applyFill="1" applyAlignment="1" applyProtection="1">
      <alignment/>
      <protection/>
    </xf>
    <xf numFmtId="165" fontId="61" fillId="37" borderId="10" xfId="0" applyNumberFormat="1" applyFont="1" applyFill="1" applyBorder="1" applyAlignment="1" applyProtection="1">
      <alignment horizontal="center"/>
      <protection/>
    </xf>
    <xf numFmtId="0" fontId="86" fillId="37" borderId="46" xfId="0" applyFont="1" applyFill="1" applyBorder="1" applyAlignment="1" applyProtection="1">
      <alignment horizontal="center" wrapText="1"/>
      <protection/>
    </xf>
    <xf numFmtId="0" fontId="86" fillId="37" borderId="47" xfId="0" applyFont="1" applyFill="1" applyBorder="1" applyAlignment="1" applyProtection="1">
      <alignment horizontal="center" wrapText="1"/>
      <protection/>
    </xf>
    <xf numFmtId="166" fontId="82" fillId="37" borderId="24" xfId="0" applyNumberFormat="1" applyFont="1" applyFill="1" applyBorder="1" applyAlignment="1" applyProtection="1">
      <alignment/>
      <protection/>
    </xf>
    <xf numFmtId="3" fontId="82" fillId="37" borderId="25" xfId="0" applyNumberFormat="1" applyFont="1" applyFill="1" applyBorder="1" applyAlignment="1" applyProtection="1">
      <alignment horizontal="center"/>
      <protection/>
    </xf>
    <xf numFmtId="164" fontId="82" fillId="37" borderId="48" xfId="0" applyNumberFormat="1" applyFont="1" applyFill="1" applyBorder="1" applyAlignment="1" applyProtection="1">
      <alignment horizontal="center"/>
      <protection/>
    </xf>
    <xf numFmtId="164" fontId="82" fillId="37" borderId="0" xfId="0" applyNumberFormat="1" applyFont="1" applyFill="1" applyAlignment="1" applyProtection="1">
      <alignment/>
      <protection/>
    </xf>
    <xf numFmtId="0" fontId="86" fillId="37" borderId="0" xfId="0" applyFont="1" applyFill="1" applyAlignment="1" applyProtection="1">
      <alignment horizontal="center" wrapText="1"/>
      <protection/>
    </xf>
    <xf numFmtId="0" fontId="5" fillId="37" borderId="15" xfId="0" applyFont="1" applyFill="1" applyBorder="1" applyAlignment="1" applyProtection="1">
      <alignment/>
      <protection/>
    </xf>
    <xf numFmtId="0" fontId="5" fillId="37" borderId="49" xfId="0" applyFont="1" applyFill="1" applyBorder="1" applyAlignment="1" applyProtection="1">
      <alignment/>
      <protection/>
    </xf>
    <xf numFmtId="3" fontId="4" fillId="34" borderId="16" xfId="0" applyNumberFormat="1" applyFont="1" applyFill="1" applyBorder="1" applyAlignment="1" applyProtection="1">
      <alignment horizontal="center"/>
      <protection locked="0"/>
    </xf>
    <xf numFmtId="3" fontId="4" fillId="34" borderId="35" xfId="0" applyNumberFormat="1" applyFont="1" applyFill="1" applyBorder="1" applyAlignment="1" applyProtection="1">
      <alignment horizontal="center"/>
      <protection locked="0"/>
    </xf>
    <xf numFmtId="0" fontId="72" fillId="37" borderId="14" xfId="0" applyFont="1" applyFill="1" applyBorder="1" applyAlignment="1" applyProtection="1">
      <alignment/>
      <protection/>
    </xf>
    <xf numFmtId="0" fontId="81" fillId="36" borderId="0" xfId="0" applyFont="1" applyFill="1" applyBorder="1" applyAlignment="1" applyProtection="1">
      <alignment vertical="top"/>
      <protection/>
    </xf>
    <xf numFmtId="164" fontId="11" fillId="38" borderId="10" xfId="0" applyNumberFormat="1" applyFont="1" applyFill="1" applyBorder="1" applyAlignment="1" applyProtection="1">
      <alignment horizontal="left"/>
      <protection/>
    </xf>
    <xf numFmtId="0" fontId="5" fillId="36" borderId="12" xfId="0" applyFont="1" applyFill="1" applyBorder="1" applyAlignment="1" applyProtection="1">
      <alignment/>
      <protection/>
    </xf>
    <xf numFmtId="0" fontId="5" fillId="36" borderId="18" xfId="0" applyFont="1" applyFill="1" applyBorder="1" applyAlignment="1" applyProtection="1">
      <alignment/>
      <protection/>
    </xf>
    <xf numFmtId="0" fontId="0" fillId="36" borderId="19" xfId="0" applyFill="1" applyBorder="1" applyAlignment="1" applyProtection="1">
      <alignment/>
      <protection/>
    </xf>
    <xf numFmtId="0" fontId="5" fillId="36" borderId="20" xfId="0" applyFont="1" applyFill="1" applyBorder="1" applyAlignment="1" applyProtection="1">
      <alignment vertical="top"/>
      <protection/>
    </xf>
    <xf numFmtId="0" fontId="0" fillId="36" borderId="22" xfId="0" applyFill="1" applyBorder="1" applyAlignment="1" applyProtection="1">
      <alignment/>
      <protection/>
    </xf>
    <xf numFmtId="164" fontId="11" fillId="38" borderId="10" xfId="0" applyNumberFormat="1" applyFont="1" applyFill="1" applyBorder="1" applyAlignment="1" applyProtection="1">
      <alignment horizontal="left" vertical="center"/>
      <protection/>
    </xf>
    <xf numFmtId="0" fontId="19" fillId="0" borderId="12" xfId="0" applyFont="1" applyBorder="1" applyAlignment="1" applyProtection="1">
      <alignment horizontal="left"/>
      <protection/>
    </xf>
    <xf numFmtId="0" fontId="19" fillId="45" borderId="18" xfId="0" applyFont="1" applyFill="1" applyBorder="1" applyAlignment="1" applyProtection="1">
      <alignment horizontal="left"/>
      <protection/>
    </xf>
    <xf numFmtId="0" fontId="19" fillId="45" borderId="32" xfId="0" applyFont="1" applyFill="1" applyBorder="1" applyAlignment="1" applyProtection="1">
      <alignment wrapText="1"/>
      <protection/>
    </xf>
    <xf numFmtId="0" fontId="19" fillId="0" borderId="18" xfId="0" applyFont="1" applyBorder="1" applyAlignment="1" applyProtection="1">
      <alignment horizontal="left"/>
      <protection/>
    </xf>
    <xf numFmtId="0" fontId="19" fillId="45" borderId="20" xfId="0" applyFont="1" applyFill="1" applyBorder="1" applyAlignment="1" applyProtection="1">
      <alignment horizontal="left"/>
      <protection/>
    </xf>
    <xf numFmtId="0" fontId="0" fillId="41" borderId="0" xfId="0" applyFont="1" applyFill="1" applyAlignment="1" applyProtection="1">
      <alignment/>
      <protection/>
    </xf>
    <xf numFmtId="0" fontId="61" fillId="0" borderId="0" xfId="0" applyFont="1" applyFill="1" applyBorder="1" applyAlignment="1" applyProtection="1">
      <alignment horizontal="left"/>
      <protection/>
    </xf>
    <xf numFmtId="3" fontId="0" fillId="36" borderId="11" xfId="0" applyNumberFormat="1" applyFill="1" applyBorder="1" applyAlignment="1" applyProtection="1">
      <alignment/>
      <protection/>
    </xf>
    <xf numFmtId="0" fontId="61" fillId="37" borderId="15" xfId="0" applyFont="1" applyFill="1" applyBorder="1" applyAlignment="1" applyProtection="1">
      <alignment/>
      <protection/>
    </xf>
    <xf numFmtId="0" fontId="61" fillId="37" borderId="16" xfId="0" applyFont="1" applyFill="1" applyBorder="1" applyAlignment="1" applyProtection="1">
      <alignment horizontal="center" wrapText="1"/>
      <protection/>
    </xf>
    <xf numFmtId="0" fontId="87" fillId="36" borderId="0" xfId="0" applyFont="1" applyFill="1" applyAlignment="1" applyProtection="1">
      <alignment/>
      <protection/>
    </xf>
    <xf numFmtId="0" fontId="87" fillId="41" borderId="34" xfId="0" applyFont="1" applyFill="1" applyBorder="1" applyAlignment="1" applyProtection="1">
      <alignment/>
      <protection/>
    </xf>
    <xf numFmtId="3" fontId="90" fillId="34" borderId="11" xfId="0" applyNumberFormat="1" applyFont="1" applyFill="1" applyBorder="1" applyAlignment="1" applyProtection="1">
      <alignment horizontal="center"/>
      <protection locked="0"/>
    </xf>
    <xf numFmtId="0" fontId="72" fillId="12" borderId="20" xfId="0" applyFont="1" applyFill="1" applyBorder="1" applyAlignment="1" applyProtection="1">
      <alignment horizontal="left"/>
      <protection/>
    </xf>
    <xf numFmtId="0" fontId="72" fillId="12" borderId="21" xfId="0" applyFont="1" applyFill="1" applyBorder="1" applyAlignment="1" applyProtection="1">
      <alignment horizontal="left"/>
      <protection/>
    </xf>
    <xf numFmtId="0" fontId="72" fillId="12" borderId="22" xfId="0" applyFont="1" applyFill="1" applyBorder="1" applyAlignment="1" applyProtection="1">
      <alignment horizontal="left"/>
      <protection/>
    </xf>
    <xf numFmtId="0" fontId="72" fillId="37" borderId="32" xfId="0" applyFont="1" applyFill="1" applyBorder="1" applyAlignment="1" applyProtection="1">
      <alignment horizontal="left" wrapText="1"/>
      <protection/>
    </xf>
    <xf numFmtId="0" fontId="72" fillId="37" borderId="33" xfId="0" applyFont="1" applyFill="1" applyBorder="1" applyAlignment="1" applyProtection="1">
      <alignment horizontal="left" wrapText="1"/>
      <protection/>
    </xf>
    <xf numFmtId="0" fontId="72" fillId="37" borderId="36" xfId="0" applyFont="1" applyFill="1" applyBorder="1" applyAlignment="1" applyProtection="1">
      <alignment horizontal="left" wrapText="1"/>
      <protection/>
    </xf>
    <xf numFmtId="0" fontId="72" fillId="37" borderId="20" xfId="0" applyFont="1" applyFill="1" applyBorder="1" applyAlignment="1" applyProtection="1">
      <alignment horizontal="left" wrapText="1"/>
      <protection/>
    </xf>
    <xf numFmtId="0" fontId="72" fillId="37" borderId="21" xfId="0" applyFont="1" applyFill="1" applyBorder="1" applyAlignment="1" applyProtection="1">
      <alignment horizontal="left" wrapText="1"/>
      <protection/>
    </xf>
    <xf numFmtId="0" fontId="72" fillId="37" borderId="22" xfId="0" applyFont="1" applyFill="1" applyBorder="1" applyAlignment="1" applyProtection="1">
      <alignment horizontal="left" wrapText="1"/>
      <protection/>
    </xf>
    <xf numFmtId="0" fontId="61" fillId="37" borderId="32" xfId="0" applyFont="1" applyFill="1" applyBorder="1" applyAlignment="1" applyProtection="1">
      <alignment horizontal="left"/>
      <protection/>
    </xf>
    <xf numFmtId="0" fontId="61" fillId="37" borderId="33" xfId="0" applyFont="1" applyFill="1" applyBorder="1" applyAlignment="1" applyProtection="1">
      <alignment horizontal="left"/>
      <protection/>
    </xf>
    <xf numFmtId="0" fontId="61" fillId="37" borderId="36" xfId="0" applyFont="1" applyFill="1" applyBorder="1" applyAlignment="1" applyProtection="1">
      <alignment horizontal="left"/>
      <protection/>
    </xf>
    <xf numFmtId="0" fontId="86" fillId="37" borderId="50" xfId="0" applyFont="1" applyFill="1" applyBorder="1" applyAlignment="1" applyProtection="1">
      <alignment horizontal="center" wrapText="1"/>
      <protection/>
    </xf>
    <xf numFmtId="0" fontId="86" fillId="37" borderId="51" xfId="0" applyFont="1" applyFill="1" applyBorder="1" applyAlignment="1" applyProtection="1">
      <alignment horizontal="center" wrapText="1"/>
      <protection/>
    </xf>
    <xf numFmtId="0" fontId="86" fillId="37" borderId="52" xfId="0" applyFont="1" applyFill="1" applyBorder="1" applyAlignment="1" applyProtection="1">
      <alignment horizontal="center" wrapText="1"/>
      <protection/>
    </xf>
    <xf numFmtId="0" fontId="86" fillId="37" borderId="53" xfId="0" applyFont="1" applyFill="1" applyBorder="1" applyAlignment="1" applyProtection="1">
      <alignment horizontal="center" wrapText="1"/>
      <protection/>
    </xf>
    <xf numFmtId="0" fontId="76" fillId="46" borderId="50" xfId="0" applyFont="1" applyFill="1" applyBorder="1" applyAlignment="1" applyProtection="1">
      <alignment horizontal="center" wrapText="1"/>
      <protection/>
    </xf>
    <xf numFmtId="0" fontId="76" fillId="46" borderId="51" xfId="0" applyFont="1" applyFill="1" applyBorder="1" applyAlignment="1" applyProtection="1">
      <alignment horizontal="center" wrapText="1"/>
      <protection/>
    </xf>
    <xf numFmtId="1" fontId="76" fillId="46" borderId="52" xfId="0" applyNumberFormat="1" applyFont="1" applyFill="1" applyBorder="1" applyAlignment="1" applyProtection="1">
      <alignment horizontal="center" wrapText="1"/>
      <protection/>
    </xf>
    <xf numFmtId="1" fontId="76" fillId="46" borderId="53" xfId="0" applyNumberFormat="1" applyFont="1" applyFill="1" applyBorder="1" applyAlignment="1" applyProtection="1">
      <alignment horizontal="center" wrapText="1"/>
      <protection/>
    </xf>
    <xf numFmtId="0" fontId="0" fillId="0" borderId="33" xfId="0" applyBorder="1" applyAlignment="1" applyProtection="1">
      <alignment/>
      <protection/>
    </xf>
    <xf numFmtId="0" fontId="0" fillId="0" borderId="36" xfId="0" applyBorder="1" applyAlignment="1" applyProtection="1">
      <alignment/>
      <protection/>
    </xf>
    <xf numFmtId="164" fontId="4" fillId="34" borderId="54" xfId="0" applyNumberFormat="1" applyFont="1" applyFill="1" applyBorder="1" applyAlignment="1" applyProtection="1">
      <alignment horizontal="center"/>
      <protection locked="0"/>
    </xf>
    <xf numFmtId="164" fontId="4" fillId="34" borderId="36" xfId="0" applyNumberFormat="1" applyFont="1" applyFill="1" applyBorder="1" applyAlignment="1" applyProtection="1">
      <alignment horizontal="center"/>
      <protection locked="0"/>
    </xf>
    <xf numFmtId="0" fontId="76" fillId="46" borderId="46" xfId="0" applyFont="1" applyFill="1" applyBorder="1" applyAlignment="1" applyProtection="1">
      <alignment horizontal="center" wrapText="1"/>
      <protection/>
    </xf>
    <xf numFmtId="0" fontId="76" fillId="46" borderId="47" xfId="0" applyFont="1" applyFill="1" applyBorder="1" applyAlignment="1" applyProtection="1">
      <alignment horizontal="center" wrapText="1"/>
      <protection/>
    </xf>
    <xf numFmtId="0" fontId="72" fillId="37" borderId="12" xfId="0" applyFont="1" applyFill="1" applyBorder="1" applyAlignment="1" applyProtection="1">
      <alignment horizontal="left" wrapText="1"/>
      <protection/>
    </xf>
    <xf numFmtId="0" fontId="72" fillId="37" borderId="13" xfId="0" applyFont="1" applyFill="1" applyBorder="1" applyAlignment="1" applyProtection="1">
      <alignment horizontal="left" wrapText="1"/>
      <protection/>
    </xf>
    <xf numFmtId="0" fontId="72" fillId="37" borderId="14" xfId="0" applyFont="1" applyFill="1" applyBorder="1" applyAlignment="1" applyProtection="1">
      <alignment horizontal="left" wrapText="1"/>
      <protection/>
    </xf>
    <xf numFmtId="0" fontId="8" fillId="0" borderId="13" xfId="0" applyFont="1" applyBorder="1" applyAlignment="1" applyProtection="1">
      <alignment horizontal="left" wrapText="1"/>
      <protection/>
    </xf>
    <xf numFmtId="0" fontId="8" fillId="0" borderId="0" xfId="0" applyFont="1" applyAlignment="1" applyProtection="1">
      <alignment horizontal="left" wrapText="1"/>
      <protection/>
    </xf>
    <xf numFmtId="0" fontId="5" fillId="37" borderId="20" xfId="0" applyFont="1" applyFill="1" applyBorder="1" applyAlignment="1" applyProtection="1">
      <alignment horizontal="left" wrapText="1"/>
      <protection/>
    </xf>
    <xf numFmtId="0" fontId="5" fillId="37" borderId="21" xfId="0" applyFont="1" applyFill="1" applyBorder="1" applyAlignment="1" applyProtection="1">
      <alignment horizontal="left" wrapText="1"/>
      <protection/>
    </xf>
    <xf numFmtId="0" fontId="5" fillId="37" borderId="22" xfId="0" applyFont="1" applyFill="1" applyBorder="1" applyAlignment="1" applyProtection="1">
      <alignment horizontal="left" wrapText="1"/>
      <protection/>
    </xf>
    <xf numFmtId="0" fontId="5" fillId="37" borderId="34" xfId="0" applyFont="1" applyFill="1" applyBorder="1" applyAlignment="1" applyProtection="1">
      <alignment horizontal="left"/>
      <protection/>
    </xf>
    <xf numFmtId="0" fontId="5" fillId="37" borderId="37" xfId="0" applyFont="1" applyFill="1" applyBorder="1" applyAlignment="1" applyProtection="1">
      <alignment horizontal="left"/>
      <protection/>
    </xf>
    <xf numFmtId="0" fontId="5" fillId="37" borderId="28" xfId="0" applyFont="1" applyFill="1" applyBorder="1" applyAlignment="1" applyProtection="1">
      <alignment horizontal="left"/>
      <protection/>
    </xf>
    <xf numFmtId="0" fontId="5" fillId="37" borderId="29"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Facility Water Balance</a:t>
            </a:r>
          </a:p>
        </c:rich>
      </c:tx>
      <c:layout>
        <c:manualLayout>
          <c:xMode val="factor"/>
          <c:yMode val="factor"/>
          <c:x val="-0.3145"/>
          <c:y val="-0.0065"/>
        </c:manualLayout>
      </c:layout>
      <c:spPr>
        <a:noFill/>
        <a:ln w="3175">
          <a:noFill/>
        </a:ln>
      </c:spPr>
    </c:title>
    <c:plotArea>
      <c:layout>
        <c:manualLayout>
          <c:xMode val="edge"/>
          <c:yMode val="edge"/>
          <c:x val="0.183"/>
          <c:y val="0.15875"/>
          <c:w val="0.64925"/>
          <c:h val="0.72225"/>
        </c:manualLayout>
      </c:layout>
      <c:pieChart>
        <c:varyColors val="1"/>
        <c:ser>
          <c:idx val="0"/>
          <c:order val="0"/>
          <c:spPr>
            <a:solidFill>
              <a:srgbClr val="4F81BD"/>
            </a:solidFill>
            <a:ln w="3175">
              <a:no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Pt>
            <c:idx val="32"/>
            <c:spPr>
              <a:solidFill>
                <a:srgbClr val="D5E0C4"/>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dLblPos val="bestFit"/>
            <c:showLegendKey val="0"/>
            <c:showVal val="1"/>
            <c:showBubbleSize val="0"/>
            <c:showCatName val="1"/>
            <c:showSerName val="0"/>
            <c:showLeaderLines val="1"/>
            <c:showPercent val="0"/>
          </c:dLbls>
          <c:cat>
            <c:numRef>
              <c:f>('Facility Water Balance'!$AU$9:$AU$40,'Facility Water Balance'!$AU$43)</c:f>
              <c:numCache/>
            </c:numRef>
          </c:cat>
          <c:val>
            <c:numRef>
              <c:f>('Facility Water Balance'!$AV$9:$AV$40,'Facility Water Balance'!$AV$43)</c:f>
              <c:numCache/>
            </c:numRef>
          </c:val>
        </c:ser>
      </c:pieChart>
      <c:spPr>
        <a:noFill/>
        <a:ln>
          <a:noFill/>
        </a:ln>
      </c:spPr>
    </c:plotArea>
    <c:plotVisOnly val="1"/>
    <c:dispBlanksAs val="zero"/>
    <c:showDLblsOverMax val="0"/>
  </c:chart>
  <c:spPr>
    <a:solidFill>
      <a:srgbClr val="C4BD97"/>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Facility Water Balance</a:t>
            </a:r>
          </a:p>
        </c:rich>
      </c:tx>
      <c:layout>
        <c:manualLayout>
          <c:xMode val="factor"/>
          <c:yMode val="factor"/>
          <c:x val="-0.2665"/>
          <c:y val="-0.008"/>
        </c:manualLayout>
      </c:layout>
      <c:spPr>
        <a:noFill/>
        <a:ln w="3175">
          <a:noFill/>
        </a:ln>
      </c:spPr>
    </c:title>
    <c:plotArea>
      <c:layout>
        <c:manualLayout>
          <c:xMode val="edge"/>
          <c:yMode val="edge"/>
          <c:x val="0.16825"/>
          <c:y val="0.167"/>
          <c:w val="0.6795"/>
          <c:h val="0.707"/>
        </c:manualLayout>
      </c:layout>
      <c:pieChart>
        <c:varyColors val="1"/>
        <c:ser>
          <c:idx val="0"/>
          <c:order val="0"/>
          <c:spPr>
            <a:solidFill>
              <a:srgbClr val="4F81BD"/>
            </a:solidFill>
            <a:ln w="3175">
              <a:no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Pt>
            <c:idx val="32"/>
            <c:spPr>
              <a:solidFill>
                <a:srgbClr val="D5E0C4"/>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dLblPos val="bestFit"/>
            <c:showLegendKey val="0"/>
            <c:showVal val="1"/>
            <c:showBubbleSize val="0"/>
            <c:showCatName val="1"/>
            <c:showSerName val="0"/>
            <c:showLeaderLines val="1"/>
            <c:showPercent val="1"/>
          </c:dLbls>
          <c:cat>
            <c:numRef>
              <c:f>('Facility Water Balance'!$AU$9:$AU$40,'Facility Water Balance'!$AU$43)</c:f>
              <c:numCache/>
            </c:numRef>
          </c:cat>
          <c:val>
            <c:numRef>
              <c:f>('Facility Water Balance'!$AV$9:$AV$40,'Facility Water Balance'!$AV$43)</c:f>
              <c:numCache/>
            </c:numRef>
          </c:val>
        </c:ser>
      </c:pieChart>
      <c:spPr>
        <a:noFill/>
        <a:ln>
          <a:noFill/>
        </a:ln>
      </c:spPr>
    </c:plotArea>
    <c:plotVisOnly val="1"/>
    <c:dispBlanksAs val="zero"/>
    <c:showDLblsOverMax val="0"/>
  </c:chart>
  <c:spPr>
    <a:solidFill>
      <a:srgbClr val="C4BD97"/>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Facility Water Use: Inflow and Sewer Water</a:t>
            </a:r>
          </a:p>
        </c:rich>
      </c:tx>
      <c:layout>
        <c:manualLayout>
          <c:xMode val="factor"/>
          <c:yMode val="factor"/>
          <c:x val="-0.07725"/>
          <c:y val="-0.00275"/>
        </c:manualLayout>
      </c:layout>
      <c:spPr>
        <a:noFill/>
        <a:ln w="3175">
          <a:noFill/>
        </a:ln>
      </c:spPr>
    </c:title>
    <c:plotArea>
      <c:layout>
        <c:manualLayout>
          <c:xMode val="edge"/>
          <c:yMode val="edge"/>
          <c:x val="0.10925"/>
          <c:y val="0.152"/>
          <c:w val="0.7125"/>
          <c:h val="0.8305"/>
        </c:manualLayout>
      </c:layout>
      <c:lineChart>
        <c:grouping val="standard"/>
        <c:varyColors val="0"/>
        <c:ser>
          <c:idx val="0"/>
          <c:order val="0"/>
          <c:tx>
            <c:strRef>
              <c:f>'Historical Water Use'!$D$11:$D$12</c:f>
              <c:strCache>
                <c:ptCount val="1"/>
                <c:pt idx="0">
                  <c:v>* Potable or Well Water Inflow - in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Water Use'!$AN$14:$AN$25</c:f>
              <c:strCache/>
            </c:strRef>
          </c:cat>
          <c:val>
            <c:numRef>
              <c:f>'Historical Water Use'!$AO$14:$AO$25</c:f>
              <c:numCache/>
            </c:numRef>
          </c:val>
          <c:smooth val="0"/>
        </c:ser>
        <c:ser>
          <c:idx val="1"/>
          <c:order val="1"/>
          <c:tx>
            <c:strRef>
              <c:f>'Historical Water Use'!$E$11:$E$12</c:f>
              <c:strCache>
                <c:ptCount val="1"/>
                <c:pt idx="0">
                  <c:v>* Utility Sewer Water Outflow  - in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Water Use'!$AN$14:$AN$25</c:f>
              <c:strCache/>
            </c:strRef>
          </c:cat>
          <c:val>
            <c:numRef>
              <c:f>'Historical Water Use'!$AP$14:$AP$25</c:f>
              <c:numCache/>
            </c:numRef>
          </c:val>
          <c:smooth val="0"/>
        </c:ser>
        <c:marker val="1"/>
        <c:axId val="32456763"/>
        <c:axId val="23675412"/>
      </c:lineChart>
      <c:dateAx>
        <c:axId val="32456763"/>
        <c:scaling>
          <c:orientation val="minMax"/>
        </c:scaling>
        <c:axPos val="b"/>
        <c:delete val="0"/>
        <c:numFmt formatCode="[$-409]mmm\-yy;@" sourceLinked="0"/>
        <c:majorTickMark val="out"/>
        <c:minorTickMark val="none"/>
        <c:tickLblPos val="nextTo"/>
        <c:spPr>
          <a:ln w="3175">
            <a:solidFill>
              <a:srgbClr val="808080"/>
            </a:solidFill>
          </a:ln>
        </c:spPr>
        <c:txPr>
          <a:bodyPr vert="horz" rot="1800000"/>
          <a:lstStyle/>
          <a:p>
            <a:pPr>
              <a:defRPr lang="en-US" cap="none" sz="1000" b="0" i="0" u="none" baseline="0">
                <a:solidFill>
                  <a:srgbClr val="000000"/>
                </a:solidFill>
              </a:defRPr>
            </a:pPr>
          </a:p>
        </c:txPr>
        <c:crossAx val="23675412"/>
        <c:crosses val="autoZero"/>
        <c:auto val="0"/>
        <c:baseTimeUnit val="days"/>
        <c:majorUnit val="1"/>
        <c:majorTimeUnit val="days"/>
        <c:minorUnit val="1"/>
        <c:minorTimeUnit val="days"/>
        <c:noMultiLvlLbl val="0"/>
      </c:dateAx>
      <c:valAx>
        <c:axId val="23675412"/>
        <c:scaling>
          <c:orientation val="minMax"/>
        </c:scaling>
        <c:axPos val="l"/>
        <c:title>
          <c:tx>
            <c:rich>
              <a:bodyPr vert="wordArtVert" rot="0" anchor="ctr"/>
              <a:lstStyle/>
              <a:p>
                <a:pPr algn="ctr">
                  <a:defRPr/>
                </a:pPr>
                <a:r>
                  <a:rPr lang="en-US" cap="none" sz="1000" b="1" i="0" u="none" baseline="0">
                    <a:solidFill>
                      <a:srgbClr val="000000"/>
                    </a:solidFill>
                  </a:rPr>
                  <a:t>Gallons</a:t>
                </a:r>
              </a:p>
            </c:rich>
          </c:tx>
          <c:layout>
            <c:manualLayout>
              <c:xMode val="factor"/>
              <c:yMode val="factor"/>
              <c:x val="-0.02925"/>
              <c:y val="0.03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56763"/>
        <c:crossesAt val="1"/>
        <c:crossBetween val="between"/>
        <c:dispUnits/>
      </c:valAx>
      <c:spPr>
        <a:solidFill>
          <a:srgbClr val="FFFFFF"/>
        </a:solidFill>
        <a:ln w="3175">
          <a:noFill/>
        </a:ln>
      </c:spPr>
    </c:plotArea>
    <c:legend>
      <c:legendPos val="r"/>
      <c:layout>
        <c:manualLayout>
          <c:xMode val="edge"/>
          <c:yMode val="edge"/>
          <c:x val="0.751"/>
          <c:y val="0.395"/>
          <c:w val="0.249"/>
          <c:h val="0.28075"/>
        </c:manualLayout>
      </c:layout>
      <c:overlay val="0"/>
      <c:spPr>
        <a:solidFill>
          <a:srgbClr val="DDD9C3"/>
        </a:solid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Water-Related Expenses</a:t>
            </a:r>
          </a:p>
        </c:rich>
      </c:tx>
      <c:layout>
        <c:manualLayout>
          <c:xMode val="factor"/>
          <c:yMode val="factor"/>
          <c:x val="-0.0015"/>
          <c:y val="-0.011"/>
        </c:manualLayout>
      </c:layout>
      <c:spPr>
        <a:noFill/>
        <a:ln w="3175">
          <a:noFill/>
        </a:ln>
      </c:spPr>
    </c:title>
    <c:plotArea>
      <c:layout>
        <c:manualLayout>
          <c:xMode val="edge"/>
          <c:yMode val="edge"/>
          <c:x val="0.07525"/>
          <c:y val="0.15625"/>
          <c:w val="0.8105"/>
          <c:h val="0.75025"/>
        </c:manualLayout>
      </c:layout>
      <c:lineChart>
        <c:grouping val="standard"/>
        <c:varyColors val="0"/>
        <c:ser>
          <c:idx val="0"/>
          <c:order val="0"/>
          <c:tx>
            <c:v>Cooling Tower Expenses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'Historical Water Use'!$AN$14:$AN$25</c:f>
              <c:strCache/>
            </c:strRef>
          </c:cat>
          <c:val>
            <c:numRef>
              <c:f>'Historical Water Use'!$AQ$14:$AQ$25</c:f>
              <c:numCache/>
            </c:numRef>
          </c:val>
          <c:smooth val="0"/>
        </c:ser>
        <c:marker val="1"/>
        <c:axId val="11752117"/>
        <c:axId val="38660190"/>
      </c:lineChart>
      <c:dateAx>
        <c:axId val="11752117"/>
        <c:scaling>
          <c:orientation val="minMax"/>
        </c:scaling>
        <c:axPos val="b"/>
        <c:delete val="0"/>
        <c:numFmt formatCode="[$-409]mmm\-yy;@" sourceLinked="0"/>
        <c:majorTickMark val="out"/>
        <c:minorTickMark val="none"/>
        <c:tickLblPos val="nextTo"/>
        <c:spPr>
          <a:ln w="3175">
            <a:solidFill>
              <a:srgbClr val="808080"/>
            </a:solidFill>
          </a:ln>
        </c:spPr>
        <c:crossAx val="38660190"/>
        <c:crosses val="autoZero"/>
        <c:auto val="0"/>
        <c:baseTimeUnit val="days"/>
        <c:majorUnit val="1"/>
        <c:majorTimeUnit val="days"/>
        <c:minorUnit val="1"/>
        <c:minorTimeUnit val="days"/>
        <c:noMultiLvlLbl val="0"/>
      </c:dateAx>
      <c:valAx>
        <c:axId val="38660190"/>
        <c:scaling>
          <c:orientation val="minMax"/>
        </c:scaling>
        <c:axPos val="l"/>
        <c:title>
          <c:tx>
            <c:rich>
              <a:bodyPr vert="wordArtVert" rot="0" anchor="ctr"/>
              <a:lstStyle/>
              <a:p>
                <a:pPr algn="ctr">
                  <a:defRPr/>
                </a:pPr>
                <a:r>
                  <a:rPr lang="en-US" cap="none" sz="1000" b="1" i="0" u="none" baseline="0">
                    <a:solidFill>
                      <a:srgbClr val="000000"/>
                    </a:solidFill>
                  </a:rPr>
                  <a:t>Dollars</a:t>
                </a:r>
              </a:p>
            </c:rich>
          </c:tx>
          <c:layout>
            <c:manualLayout>
              <c:xMode val="factor"/>
              <c:yMode val="factor"/>
              <c:x val="0.010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521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104775</xdr:colOff>
      <xdr:row>13</xdr:row>
      <xdr:rowOff>142875</xdr:rowOff>
    </xdr:from>
    <xdr:to>
      <xdr:col>66</xdr:col>
      <xdr:colOff>514350</xdr:colOff>
      <xdr:row>44</xdr:row>
      <xdr:rowOff>95250</xdr:rowOff>
    </xdr:to>
    <xdr:graphicFrame>
      <xdr:nvGraphicFramePr>
        <xdr:cNvPr id="1" name="Chart 3"/>
        <xdr:cNvGraphicFramePr/>
      </xdr:nvGraphicFramePr>
      <xdr:xfrm>
        <a:off x="38719125" y="3152775"/>
        <a:ext cx="6505575" cy="5857875"/>
      </xdr:xfrm>
      <a:graphic>
        <a:graphicData uri="http://schemas.openxmlformats.org/drawingml/2006/chart">
          <c:chart xmlns:c="http://schemas.openxmlformats.org/drawingml/2006/chart" r:id="rId1"/>
        </a:graphicData>
      </a:graphic>
    </xdr:graphicFrame>
    <xdr:clientData/>
  </xdr:twoCellAnchor>
  <xdr:twoCellAnchor>
    <xdr:from>
      <xdr:col>3</xdr:col>
      <xdr:colOff>333375</xdr:colOff>
      <xdr:row>12</xdr:row>
      <xdr:rowOff>9525</xdr:rowOff>
    </xdr:from>
    <xdr:to>
      <xdr:col>10</xdr:col>
      <xdr:colOff>342900</xdr:colOff>
      <xdr:row>37</xdr:row>
      <xdr:rowOff>76200</xdr:rowOff>
    </xdr:to>
    <xdr:graphicFrame>
      <xdr:nvGraphicFramePr>
        <xdr:cNvPr id="2" name="Chart 2"/>
        <xdr:cNvGraphicFramePr/>
      </xdr:nvGraphicFramePr>
      <xdr:xfrm>
        <a:off x="4305300" y="2828925"/>
        <a:ext cx="5019675" cy="4829175"/>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57150</xdr:colOff>
      <xdr:row>2</xdr:row>
      <xdr:rowOff>9525</xdr:rowOff>
    </xdr:from>
    <xdr:to>
      <xdr:col>14</xdr:col>
      <xdr:colOff>247650</xdr:colOff>
      <xdr:row>10</xdr:row>
      <xdr:rowOff>180975</xdr:rowOff>
    </xdr:to>
    <xdr:pic>
      <xdr:nvPicPr>
        <xdr:cNvPr id="3" name="Picture 1"/>
        <xdr:cNvPicPr preferRelativeResize="1">
          <a:picLocks noChangeAspect="1"/>
        </xdr:cNvPicPr>
      </xdr:nvPicPr>
      <xdr:blipFill>
        <a:blip r:embed="rId3"/>
        <a:srcRect l="16308" t="25651" r="36752" b="15104"/>
        <a:stretch>
          <a:fillRect/>
        </a:stretch>
      </xdr:blipFill>
      <xdr:spPr>
        <a:xfrm>
          <a:off x="9477375" y="447675"/>
          <a:ext cx="2095500" cy="2171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4</xdr:row>
      <xdr:rowOff>209550</xdr:rowOff>
    </xdr:from>
    <xdr:to>
      <xdr:col>13</xdr:col>
      <xdr:colOff>314325</xdr:colOff>
      <xdr:row>19</xdr:row>
      <xdr:rowOff>152400</xdr:rowOff>
    </xdr:to>
    <xdr:graphicFrame>
      <xdr:nvGraphicFramePr>
        <xdr:cNvPr id="1" name="Chart 1"/>
        <xdr:cNvGraphicFramePr/>
      </xdr:nvGraphicFramePr>
      <xdr:xfrm>
        <a:off x="5810250" y="1362075"/>
        <a:ext cx="6858000" cy="3581400"/>
      </xdr:xfrm>
      <a:graphic>
        <a:graphicData uri="http://schemas.openxmlformats.org/drawingml/2006/chart">
          <c:chart xmlns:c="http://schemas.openxmlformats.org/drawingml/2006/chart" r:id="rId1"/>
        </a:graphicData>
      </a:graphic>
    </xdr:graphicFrame>
    <xdr:clientData/>
  </xdr:twoCellAnchor>
  <xdr:twoCellAnchor>
    <xdr:from>
      <xdr:col>7</xdr:col>
      <xdr:colOff>552450</xdr:colOff>
      <xdr:row>20</xdr:row>
      <xdr:rowOff>152400</xdr:rowOff>
    </xdr:from>
    <xdr:to>
      <xdr:col>13</xdr:col>
      <xdr:colOff>361950</xdr:colOff>
      <xdr:row>40</xdr:row>
      <xdr:rowOff>0</xdr:rowOff>
    </xdr:to>
    <xdr:graphicFrame>
      <xdr:nvGraphicFramePr>
        <xdr:cNvPr id="2" name="Chart 2"/>
        <xdr:cNvGraphicFramePr/>
      </xdr:nvGraphicFramePr>
      <xdr:xfrm>
        <a:off x="5876925" y="5133975"/>
        <a:ext cx="683895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X30"/>
  <sheetViews>
    <sheetView showGridLines="0" tabSelected="1" zoomScale="90" zoomScaleNormal="90" zoomScalePageLayoutView="0" workbookViewId="0" topLeftCell="A1">
      <selection activeCell="L22" sqref="L22"/>
    </sheetView>
  </sheetViews>
  <sheetFormatPr defaultColWidth="9.140625" defaultRowHeight="12.75"/>
  <cols>
    <col min="1" max="1" width="3.140625" style="7" customWidth="1"/>
    <col min="2" max="2" width="28.28125" style="7" customWidth="1"/>
    <col min="3" max="3" width="17.7109375" style="7" customWidth="1"/>
    <col min="4" max="4" width="14.28125" style="7" customWidth="1"/>
    <col min="5" max="5" width="2.57421875" style="7" customWidth="1"/>
    <col min="6" max="7" width="9.140625" style="7" customWidth="1"/>
    <col min="8" max="8" width="13.00390625" style="7" customWidth="1"/>
    <col min="9" max="9" width="9.140625" style="7" customWidth="1"/>
    <col min="10" max="10" width="13.28125" style="7" customWidth="1"/>
    <col min="11" max="16384" width="9.140625" style="7" customWidth="1"/>
  </cols>
  <sheetData>
    <row r="1" spans="1:47" ht="14.25">
      <c r="A1" s="125"/>
      <c r="B1" s="125"/>
      <c r="C1" s="125"/>
      <c r="D1" s="125"/>
      <c r="E1" s="125"/>
      <c r="F1" s="125"/>
      <c r="G1" s="125"/>
      <c r="AU1" s="126" t="str">
        <f>IF('Utility Rate Data Input'!D16="1000 gals",1000,IF('Utility Rate Data Input'!D16="ccfs",748,"X"))</f>
        <v>X</v>
      </c>
    </row>
    <row r="2" spans="1:7" ht="12.75">
      <c r="A2" s="125"/>
      <c r="B2" s="125" t="s">
        <v>68</v>
      </c>
      <c r="C2" s="125"/>
      <c r="D2" s="125"/>
      <c r="E2" s="125"/>
      <c r="F2" s="125"/>
      <c r="G2" s="125"/>
    </row>
    <row r="3" spans="1:7" ht="13.5" thickBot="1">
      <c r="A3" s="125"/>
      <c r="B3" s="125" t="s">
        <v>113</v>
      </c>
      <c r="C3" s="125"/>
      <c r="D3" s="125"/>
      <c r="E3" s="125"/>
      <c r="F3" s="125"/>
      <c r="G3" s="125"/>
    </row>
    <row r="4" spans="1:12" ht="12.75">
      <c r="A4" s="125"/>
      <c r="B4" s="125"/>
      <c r="C4" s="125"/>
      <c r="D4" s="125"/>
      <c r="E4" s="125"/>
      <c r="F4" s="125"/>
      <c r="G4" s="125"/>
      <c r="H4" s="127" t="s">
        <v>137</v>
      </c>
      <c r="I4" s="128"/>
      <c r="J4" s="128"/>
      <c r="K4" s="128"/>
      <c r="L4" s="129"/>
    </row>
    <row r="5" spans="1:12" ht="16.5">
      <c r="A5" s="125"/>
      <c r="B5" s="125" t="s">
        <v>67</v>
      </c>
      <c r="C5" s="125"/>
      <c r="D5" s="125"/>
      <c r="E5" s="125"/>
      <c r="F5" s="125"/>
      <c r="G5" s="125"/>
      <c r="H5" s="130"/>
      <c r="I5" s="131"/>
      <c r="J5" s="131"/>
      <c r="K5" s="97" t="s">
        <v>108</v>
      </c>
      <c r="L5" s="110"/>
    </row>
    <row r="6" spans="1:12" ht="14.25" customHeight="1">
      <c r="A6" s="125"/>
      <c r="B6" s="125"/>
      <c r="C6" s="125" t="s">
        <v>27</v>
      </c>
      <c r="D6" s="125"/>
      <c r="E6" s="125"/>
      <c r="F6" s="125"/>
      <c r="G6" s="125"/>
      <c r="H6" s="130"/>
      <c r="I6" s="131"/>
      <c r="J6" s="131"/>
      <c r="K6" s="97" t="s">
        <v>109</v>
      </c>
      <c r="L6" s="111" t="s">
        <v>110</v>
      </c>
    </row>
    <row r="7" spans="1:12" ht="15.75" customHeight="1" thickBot="1">
      <c r="A7" s="125"/>
      <c r="B7" s="125"/>
      <c r="C7" s="125" t="s">
        <v>64</v>
      </c>
      <c r="D7" s="125"/>
      <c r="E7" s="125"/>
      <c r="F7" s="125"/>
      <c r="G7" s="125"/>
      <c r="H7" s="132"/>
      <c r="I7" s="133"/>
      <c r="J7" s="133"/>
      <c r="K7" s="112" t="s">
        <v>111</v>
      </c>
      <c r="L7" s="113"/>
    </row>
    <row r="8" spans="1:8" ht="12.75" customHeight="1">
      <c r="A8" s="125"/>
      <c r="B8" s="125"/>
      <c r="C8" s="125" t="s">
        <v>65</v>
      </c>
      <c r="D8" s="125"/>
      <c r="E8" s="125"/>
      <c r="F8" s="125"/>
      <c r="G8" s="125"/>
      <c r="H8" s="204"/>
    </row>
    <row r="9" spans="1:10" ht="15" customHeight="1">
      <c r="A9" s="125"/>
      <c r="B9" s="125"/>
      <c r="C9" s="125" t="s">
        <v>66</v>
      </c>
      <c r="D9" s="125"/>
      <c r="E9" s="125"/>
      <c r="F9" s="125"/>
      <c r="G9" s="125"/>
      <c r="J9" s="134"/>
    </row>
    <row r="10" spans="85:92" ht="12.75" customHeight="1" thickBot="1">
      <c r="CG10" s="30"/>
      <c r="CH10" s="58"/>
      <c r="CI10" s="26"/>
      <c r="CJ10" s="59" t="s">
        <v>82</v>
      </c>
      <c r="CK10" s="60">
        <f>((((424/(CL17/100))*(1))*CK14)*CK17)</f>
        <v>0.00905491525423729</v>
      </c>
      <c r="CL10" s="26" t="s">
        <v>83</v>
      </c>
      <c r="CM10" s="26"/>
      <c r="CN10" s="30"/>
    </row>
    <row r="11" spans="2:92" ht="17.25" customHeight="1" thickBot="1">
      <c r="B11" s="135" t="s">
        <v>85</v>
      </c>
      <c r="C11" s="135"/>
      <c r="D11" s="135"/>
      <c r="E11" s="135"/>
      <c r="F11" s="30"/>
      <c r="G11" s="30"/>
      <c r="H11" s="30"/>
      <c r="I11" s="30"/>
      <c r="J11" s="30"/>
      <c r="K11" s="30"/>
      <c r="L11" s="30"/>
      <c r="M11" s="30"/>
      <c r="N11" s="30"/>
      <c r="O11" s="30"/>
      <c r="P11" s="30"/>
      <c r="Q11" s="26"/>
      <c r="R11" s="30"/>
      <c r="S11" s="30"/>
      <c r="CG11" s="30"/>
      <c r="CH11" s="58"/>
      <c r="CI11" s="61"/>
      <c r="CJ11" s="59" t="s">
        <v>84</v>
      </c>
      <c r="CK11" s="60">
        <f>((((424/(CL17/100))*(0.67))*CK14)*CK17)</f>
        <v>0.006066793220338985</v>
      </c>
      <c r="CL11" s="62" t="s">
        <v>5</v>
      </c>
      <c r="CM11" s="25"/>
      <c r="CN11" s="30"/>
    </row>
    <row r="12" spans="2:92" ht="17.25" thickBot="1">
      <c r="B12" s="136"/>
      <c r="C12" s="30"/>
      <c r="D12" s="30"/>
      <c r="E12" s="30"/>
      <c r="F12" s="30"/>
      <c r="G12" s="30"/>
      <c r="H12" s="30"/>
      <c r="I12" s="30"/>
      <c r="J12" s="30"/>
      <c r="K12" s="30"/>
      <c r="L12" s="30"/>
      <c r="M12" s="30"/>
      <c r="N12" s="30"/>
      <c r="O12" s="30"/>
      <c r="P12" s="30"/>
      <c r="Q12" s="25"/>
      <c r="R12" s="30"/>
      <c r="S12" s="30"/>
      <c r="CG12" s="30"/>
      <c r="CH12" s="63"/>
      <c r="CI12" s="64"/>
      <c r="CJ12" s="65" t="s">
        <v>86</v>
      </c>
      <c r="CK12" s="66" t="e">
        <f>(D17+D18)/CK13</f>
        <v>#DIV/0!</v>
      </c>
      <c r="CL12" s="67" t="s">
        <v>3</v>
      </c>
      <c r="CM12" s="25"/>
      <c r="CN12" s="30"/>
    </row>
    <row r="13" spans="2:92" ht="17.25" customHeight="1" thickBot="1">
      <c r="B13" s="137" t="s">
        <v>114</v>
      </c>
      <c r="C13" s="138"/>
      <c r="D13" s="138"/>
      <c r="E13" s="138"/>
      <c r="F13" s="138"/>
      <c r="G13" s="138"/>
      <c r="H13" s="138"/>
      <c r="I13" s="138"/>
      <c r="J13" s="138"/>
      <c r="K13" s="138"/>
      <c r="L13" s="139"/>
      <c r="M13" s="30"/>
      <c r="N13" s="30"/>
      <c r="O13" s="30"/>
      <c r="P13" s="30"/>
      <c r="Q13" s="25"/>
      <c r="R13" s="30"/>
      <c r="S13" s="30"/>
      <c r="CG13" s="30"/>
      <c r="CH13" s="25"/>
      <c r="CI13" s="68" t="s">
        <v>6</v>
      </c>
      <c r="CJ13" s="69" t="s">
        <v>7</v>
      </c>
      <c r="CK13" s="70">
        <f>IF(D16="Select one",0,(IF(D16="1000 gals",1000,748)))</f>
        <v>0</v>
      </c>
      <c r="CL13" s="71" t="s">
        <v>4</v>
      </c>
      <c r="CM13" s="25"/>
      <c r="CN13" s="30"/>
    </row>
    <row r="14" spans="7:102" ht="17.25" thickBot="1">
      <c r="G14" s="30"/>
      <c r="H14" s="30"/>
      <c r="I14" s="30"/>
      <c r="J14" s="30"/>
      <c r="K14" s="30"/>
      <c r="L14" s="30"/>
      <c r="M14" s="30"/>
      <c r="N14" s="30"/>
      <c r="O14" s="30"/>
      <c r="P14" s="30"/>
      <c r="Q14" s="25"/>
      <c r="R14" s="30"/>
      <c r="S14" s="30"/>
      <c r="CG14" s="30"/>
      <c r="CH14" s="72"/>
      <c r="CI14" s="73" t="s">
        <v>87</v>
      </c>
      <c r="CJ14" s="74" t="s">
        <v>88</v>
      </c>
      <c r="CK14" s="75">
        <f>IF(CJ17="Electric Heat",0.000293,0.00001)</f>
        <v>1E-05</v>
      </c>
      <c r="CL14" s="76" t="s">
        <v>5</v>
      </c>
      <c r="CM14" s="25"/>
      <c r="CN14" s="30"/>
      <c r="CU14" s="51" t="s">
        <v>75</v>
      </c>
      <c r="CV14" s="140" t="s">
        <v>76</v>
      </c>
      <c r="CW14" s="52"/>
      <c r="CX14" s="50"/>
    </row>
    <row r="15" spans="2:102" ht="17.25" thickBot="1">
      <c r="B15" s="44" t="s">
        <v>71</v>
      </c>
      <c r="C15" s="30"/>
      <c r="D15" s="26"/>
      <c r="E15" s="26"/>
      <c r="F15" s="30"/>
      <c r="G15" s="30"/>
      <c r="H15" s="30"/>
      <c r="I15" s="30"/>
      <c r="J15" s="30"/>
      <c r="K15" s="30"/>
      <c r="L15" s="30"/>
      <c r="M15" s="30"/>
      <c r="N15" s="30"/>
      <c r="O15" s="30"/>
      <c r="P15" s="30"/>
      <c r="Q15" s="25"/>
      <c r="R15" s="30"/>
      <c r="S15" s="30"/>
      <c r="CG15" s="30"/>
      <c r="CH15" s="72"/>
      <c r="CI15" s="77"/>
      <c r="CJ15" s="78" t="s">
        <v>89</v>
      </c>
      <c r="CK15" s="79"/>
      <c r="CL15" s="76" t="s">
        <v>76</v>
      </c>
      <c r="CM15" s="25"/>
      <c r="CN15" s="30"/>
      <c r="CU15" s="53" t="s">
        <v>95</v>
      </c>
      <c r="CV15" s="141">
        <v>1.26</v>
      </c>
      <c r="CW15" s="52"/>
      <c r="CX15" s="50"/>
    </row>
    <row r="16" spans="2:102" ht="17.25" thickBot="1">
      <c r="B16" s="45" t="s">
        <v>72</v>
      </c>
      <c r="C16" s="46"/>
      <c r="D16" s="47" t="s">
        <v>5</v>
      </c>
      <c r="E16" s="26"/>
      <c r="F16" s="30"/>
      <c r="G16" s="30"/>
      <c r="H16" s="30"/>
      <c r="I16" s="30"/>
      <c r="J16" s="30"/>
      <c r="K16" s="30"/>
      <c r="L16" s="30"/>
      <c r="M16" s="30"/>
      <c r="N16" s="142"/>
      <c r="O16" s="30"/>
      <c r="P16" s="30"/>
      <c r="Q16" s="25"/>
      <c r="R16" s="30"/>
      <c r="S16" s="30"/>
      <c r="CG16" s="30"/>
      <c r="CH16" s="30"/>
      <c r="CI16" s="25"/>
      <c r="CJ16" s="80" t="s">
        <v>90</v>
      </c>
      <c r="CK16" s="79" t="s">
        <v>91</v>
      </c>
      <c r="CL16" s="79" t="s">
        <v>92</v>
      </c>
      <c r="CM16" s="76" t="s">
        <v>93</v>
      </c>
      <c r="CN16" s="72"/>
      <c r="CU16" s="53" t="s">
        <v>96</v>
      </c>
      <c r="CV16" s="141">
        <v>0.113</v>
      </c>
      <c r="CW16" s="52"/>
      <c r="CX16" s="50"/>
    </row>
    <row r="17" spans="2:102" ht="17.25" thickBot="1">
      <c r="B17" s="48" t="s">
        <v>73</v>
      </c>
      <c r="C17" s="49" t="str">
        <f>IF(D16="Select one","unit",IF(D16="1000 gals","1000 gals","ccf"))</f>
        <v>unit</v>
      </c>
      <c r="D17" s="183"/>
      <c r="E17" s="26"/>
      <c r="F17" s="30"/>
      <c r="G17" s="30"/>
      <c r="H17" s="30"/>
      <c r="I17" s="30"/>
      <c r="J17" s="30"/>
      <c r="K17" s="30"/>
      <c r="L17" s="30"/>
      <c r="M17" s="30"/>
      <c r="N17" s="142"/>
      <c r="O17" s="30"/>
      <c r="P17" s="30"/>
      <c r="Q17" s="30"/>
      <c r="R17" s="25"/>
      <c r="S17" s="30"/>
      <c r="CG17" s="30"/>
      <c r="CH17" s="30"/>
      <c r="CI17" s="25"/>
      <c r="CJ17" s="81" t="str">
        <f>CV14</f>
        <v>Gas Heat</v>
      </c>
      <c r="CK17" s="82">
        <f>CK19</f>
        <v>1.26</v>
      </c>
      <c r="CL17" s="83">
        <f>CW17</f>
        <v>59</v>
      </c>
      <c r="CM17" s="84"/>
      <c r="CN17" s="72"/>
      <c r="CU17" s="51" t="s">
        <v>77</v>
      </c>
      <c r="CV17" s="49" t="str">
        <f>IF(CV14="Select one","Fuel type",(IF(CV14="Electric Heat","Elect.","Gas")))</f>
        <v>Gas</v>
      </c>
      <c r="CW17" s="143">
        <v>59</v>
      </c>
      <c r="CX17" s="54" t="s">
        <v>79</v>
      </c>
    </row>
    <row r="18" spans="2:102" ht="17.25" thickBot="1">
      <c r="B18" s="90" t="s">
        <v>74</v>
      </c>
      <c r="C18" s="91" t="str">
        <f>IF(D16="Select one","unit",IF(D16="1000 gals","1000 gals","ccf"))</f>
        <v>unit</v>
      </c>
      <c r="D18" s="184"/>
      <c r="E18" s="26"/>
      <c r="F18" s="30"/>
      <c r="G18" s="30"/>
      <c r="H18" s="30"/>
      <c r="I18" s="30"/>
      <c r="J18" s="30"/>
      <c r="K18" s="30"/>
      <c r="L18" s="30"/>
      <c r="M18" s="30"/>
      <c r="N18" s="142"/>
      <c r="O18" s="30"/>
      <c r="P18" s="30"/>
      <c r="Q18" s="30"/>
      <c r="R18" s="25"/>
      <c r="S18" s="30"/>
      <c r="CG18" s="30"/>
      <c r="CH18" s="30"/>
      <c r="CI18" s="25"/>
      <c r="CJ18" s="25" t="s">
        <v>94</v>
      </c>
      <c r="CK18" s="25"/>
      <c r="CL18" s="25"/>
      <c r="CM18" s="25"/>
      <c r="CN18" s="72"/>
      <c r="CU18" s="51" t="s">
        <v>80</v>
      </c>
      <c r="CV18" s="52"/>
      <c r="CW18" s="52"/>
      <c r="CX18" s="55"/>
    </row>
    <row r="19" spans="5:102" ht="17.25" thickBot="1">
      <c r="E19" s="26"/>
      <c r="F19" s="30"/>
      <c r="G19" s="30"/>
      <c r="H19" s="30"/>
      <c r="I19" s="30"/>
      <c r="J19" s="30"/>
      <c r="K19" s="30"/>
      <c r="L19" s="30"/>
      <c r="M19" s="30"/>
      <c r="N19" s="142"/>
      <c r="O19" s="30"/>
      <c r="P19" s="26"/>
      <c r="Q19" s="30"/>
      <c r="R19" s="25"/>
      <c r="S19" s="30"/>
      <c r="CG19" s="30"/>
      <c r="CH19" s="30"/>
      <c r="CI19" s="85"/>
      <c r="CJ19" s="86" t="str">
        <f>IF(CV14="Select one","Select heat type above",IF(CV14="Gas Heat","Heating Cost per Therm",IF(CV14="Electric Heat","Heating cost per kWh","x")))</f>
        <v>Heating Cost per Therm</v>
      </c>
      <c r="CK19" s="141">
        <f>IF(CV14="Select one",0,IF(CV14="Gas Heat",CV15,IF(CV14="Electric Heat",CV16,"x")))</f>
        <v>1.26</v>
      </c>
      <c r="CL19" s="72"/>
      <c r="CM19" s="72"/>
      <c r="CN19" s="72"/>
      <c r="CU19" s="56" t="s">
        <v>78</v>
      </c>
      <c r="CV19" s="144" t="s">
        <v>97</v>
      </c>
      <c r="CW19" s="57" t="s">
        <v>81</v>
      </c>
      <c r="CX19" s="144" t="s">
        <v>98</v>
      </c>
    </row>
    <row r="20" spans="5:92" ht="16.5">
      <c r="E20" s="26"/>
      <c r="F20" s="30"/>
      <c r="G20" s="30"/>
      <c r="H20" s="30"/>
      <c r="I20" s="30"/>
      <c r="J20" s="30"/>
      <c r="K20" s="30"/>
      <c r="L20" s="30"/>
      <c r="M20" s="30"/>
      <c r="N20" s="142"/>
      <c r="O20" s="30"/>
      <c r="P20" s="26"/>
      <c r="Q20" s="30"/>
      <c r="R20" s="30"/>
      <c r="S20" s="30"/>
      <c r="CG20" s="30"/>
      <c r="CH20" s="30"/>
      <c r="CI20" s="30"/>
      <c r="CJ20" s="30"/>
      <c r="CK20" s="30"/>
      <c r="CL20" s="30"/>
      <c r="CM20" s="30"/>
      <c r="CN20" s="30"/>
    </row>
    <row r="21" spans="5:19" ht="16.5">
      <c r="E21" s="26"/>
      <c r="F21" s="30"/>
      <c r="G21" s="30"/>
      <c r="H21" s="30"/>
      <c r="I21" s="30"/>
      <c r="J21" s="30"/>
      <c r="K21" s="30"/>
      <c r="L21" s="30"/>
      <c r="M21" s="30"/>
      <c r="N21" s="142"/>
      <c r="O21" s="30"/>
      <c r="P21" s="26"/>
      <c r="Q21" s="30"/>
      <c r="R21" s="30"/>
      <c r="S21" s="30"/>
    </row>
    <row r="22" spans="6:27" ht="16.5">
      <c r="F22" s="30"/>
      <c r="G22" s="30"/>
      <c r="H22" s="30"/>
      <c r="I22" s="30"/>
      <c r="J22" s="30"/>
      <c r="K22" s="30"/>
      <c r="L22" s="30"/>
      <c r="M22" s="30"/>
      <c r="N22" s="142"/>
      <c r="O22" s="30"/>
      <c r="P22" s="25"/>
      <c r="Q22" s="30"/>
      <c r="R22" s="30"/>
      <c r="S22" s="30"/>
      <c r="T22" s="30"/>
      <c r="U22" s="30"/>
      <c r="V22" s="30"/>
      <c r="W22" s="30"/>
      <c r="X22" s="30"/>
      <c r="Y22" s="30"/>
      <c r="Z22" s="30"/>
      <c r="AA22" s="30"/>
    </row>
    <row r="23" spans="6:27" ht="16.5">
      <c r="F23" s="30"/>
      <c r="G23" s="30"/>
      <c r="H23" s="30"/>
      <c r="I23" s="30"/>
      <c r="J23" s="30"/>
      <c r="K23" s="30"/>
      <c r="L23" s="30"/>
      <c r="M23" s="30"/>
      <c r="N23" s="30"/>
      <c r="O23" s="30"/>
      <c r="P23" s="25"/>
      <c r="Q23" s="30"/>
      <c r="R23" s="30"/>
      <c r="S23" s="30"/>
      <c r="T23" s="30"/>
      <c r="U23" s="30"/>
      <c r="V23" s="30"/>
      <c r="W23" s="30"/>
      <c r="X23" s="30"/>
      <c r="Y23" s="30"/>
      <c r="Z23" s="30"/>
      <c r="AA23" s="30"/>
    </row>
    <row r="24" spans="2:27" ht="16.5">
      <c r="B24" s="30"/>
      <c r="C24" s="30"/>
      <c r="D24" s="30"/>
      <c r="E24" s="30"/>
      <c r="F24" s="30"/>
      <c r="G24" s="30"/>
      <c r="H24" s="30"/>
      <c r="I24" s="30"/>
      <c r="J24" s="30"/>
      <c r="K24" s="30"/>
      <c r="L24" s="30"/>
      <c r="M24" s="30"/>
      <c r="N24" s="30"/>
      <c r="O24" s="30"/>
      <c r="P24" s="25"/>
      <c r="Q24" s="30"/>
      <c r="R24" s="30"/>
      <c r="S24" s="30"/>
      <c r="T24" s="30"/>
      <c r="U24" s="30"/>
      <c r="V24" s="30"/>
      <c r="W24" s="30"/>
      <c r="X24" s="30"/>
      <c r="Y24" s="30"/>
      <c r="Z24" s="30"/>
      <c r="AA24" s="30"/>
    </row>
    <row r="25" spans="2:27" ht="16.5">
      <c r="B25" s="30"/>
      <c r="C25" s="30"/>
      <c r="D25" s="30"/>
      <c r="E25" s="30"/>
      <c r="F25" s="30"/>
      <c r="G25" s="30"/>
      <c r="H25" s="30"/>
      <c r="I25" s="30"/>
      <c r="J25" s="30"/>
      <c r="K25" s="30"/>
      <c r="L25" s="30"/>
      <c r="M25" s="30"/>
      <c r="N25" s="30"/>
      <c r="O25" s="25"/>
      <c r="P25" s="30"/>
      <c r="Q25" s="30"/>
      <c r="R25" s="30"/>
      <c r="S25" s="30"/>
      <c r="T25" s="30"/>
      <c r="U25" s="30"/>
      <c r="V25" s="30"/>
      <c r="W25" s="30"/>
      <c r="X25" s="30"/>
      <c r="Y25" s="30"/>
      <c r="Z25" s="30"/>
      <c r="AA25" s="30"/>
    </row>
    <row r="26" spans="7:27" ht="16.5">
      <c r="G26" s="30"/>
      <c r="H26" s="30"/>
      <c r="I26" s="30"/>
      <c r="J26" s="30"/>
      <c r="K26" s="30"/>
      <c r="L26" s="30"/>
      <c r="M26" s="30"/>
      <c r="O26" s="25"/>
      <c r="P26" s="30"/>
      <c r="Q26" s="30"/>
      <c r="R26" s="30"/>
      <c r="S26" s="30"/>
      <c r="T26" s="30"/>
      <c r="U26" s="30"/>
      <c r="V26" s="30"/>
      <c r="W26" s="30"/>
      <c r="X26" s="30"/>
      <c r="Y26" s="30"/>
      <c r="Z26" s="30"/>
      <c r="AA26" s="30"/>
    </row>
    <row r="27" spans="7:27" ht="16.5">
      <c r="G27" s="30"/>
      <c r="H27" s="30"/>
      <c r="I27" s="30"/>
      <c r="J27" s="30"/>
      <c r="K27" s="30"/>
      <c r="L27" s="30"/>
      <c r="M27" s="30"/>
      <c r="O27" s="25"/>
      <c r="P27" s="30"/>
      <c r="Q27" s="30"/>
      <c r="R27" s="30"/>
      <c r="S27" s="30"/>
      <c r="T27" s="30"/>
      <c r="U27" s="30"/>
      <c r="V27" s="30"/>
      <c r="W27" s="30"/>
      <c r="X27" s="30"/>
      <c r="Y27" s="30"/>
      <c r="Z27" s="30"/>
      <c r="AA27" s="30"/>
    </row>
    <row r="28" spans="7:13" ht="12.75">
      <c r="G28" s="30"/>
      <c r="H28" s="30"/>
      <c r="I28" s="30"/>
      <c r="J28" s="30"/>
      <c r="K28" s="30"/>
      <c r="L28" s="30"/>
      <c r="M28" s="30"/>
    </row>
    <row r="29" spans="7:13" ht="12.75">
      <c r="G29" s="30"/>
      <c r="H29" s="30"/>
      <c r="I29" s="30"/>
      <c r="J29" s="30"/>
      <c r="K29" s="30"/>
      <c r="L29" s="30"/>
      <c r="M29" s="30"/>
    </row>
    <row r="30" spans="7:13" ht="12.75">
      <c r="G30" s="30"/>
      <c r="H30" s="30"/>
      <c r="I30" s="30"/>
      <c r="J30" s="30"/>
      <c r="K30" s="30"/>
      <c r="L30" s="30"/>
      <c r="M30" s="30"/>
    </row>
  </sheetData>
  <sheetProtection sheet="1" objects="1" scenarios="1"/>
  <dataValidations count="3">
    <dataValidation type="list" allowBlank="1" showInputMessage="1" showErrorMessage="1" sqref="CV14">
      <formula1>$CK$14:$CK$16</formula1>
    </dataValidation>
    <dataValidation type="list" allowBlank="1" showInputMessage="1" showErrorMessage="1" sqref="D16">
      <formula1>$CL$11:$CL$13</formula1>
    </dataValidation>
    <dataValidation type="list" allowBlank="1" showInputMessage="1" showErrorMessage="1" sqref="L6">
      <formula1>$CB$2:$CB$5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Z49"/>
  <sheetViews>
    <sheetView showGridLines="0" zoomScale="80" zoomScaleNormal="80" zoomScalePageLayoutView="0" workbookViewId="0" topLeftCell="A1">
      <selection activeCell="G7" sqref="G7"/>
    </sheetView>
  </sheetViews>
  <sheetFormatPr defaultColWidth="9.140625" defaultRowHeight="12.75"/>
  <cols>
    <col min="1" max="1" width="3.8515625" style="7" customWidth="1"/>
    <col min="2" max="2" width="42.421875" style="7" bestFit="1" customWidth="1"/>
    <col min="3" max="3" width="13.28125" style="7" customWidth="1"/>
    <col min="4" max="4" width="13.421875" style="12" customWidth="1"/>
    <col min="5" max="5" width="10.00390625" style="7" customWidth="1"/>
    <col min="6" max="6" width="15.7109375" style="7" customWidth="1"/>
    <col min="7" max="7" width="11.00390625" style="7" customWidth="1"/>
    <col min="8" max="9" width="9.140625" style="7" customWidth="1"/>
    <col min="10" max="10" width="6.7109375" style="7" customWidth="1"/>
    <col min="11" max="11" width="6.57421875" style="7" customWidth="1"/>
    <col min="12" max="12" width="9.140625" style="7" customWidth="1"/>
    <col min="13" max="13" width="10.28125" style="7" customWidth="1"/>
    <col min="14" max="50" width="9.140625" style="7" customWidth="1"/>
    <col min="51" max="51" width="34.421875" style="7" bestFit="1" customWidth="1"/>
    <col min="52" max="16384" width="9.140625" style="7" customWidth="1"/>
  </cols>
  <sheetData>
    <row r="1" spans="2:48" ht="18" customHeight="1">
      <c r="B1" s="6" t="s">
        <v>27</v>
      </c>
      <c r="D1" s="118" t="s">
        <v>137</v>
      </c>
      <c r="E1" s="116"/>
      <c r="F1" s="116"/>
      <c r="G1" s="145"/>
      <c r="I1" s="4"/>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row>
    <row r="2" spans="2:11" ht="16.5">
      <c r="B2" s="204" t="s">
        <v>165</v>
      </c>
      <c r="D2" s="114"/>
      <c r="E2" s="97"/>
      <c r="F2" s="97" t="s">
        <v>108</v>
      </c>
      <c r="G2" s="110"/>
      <c r="I2" s="14"/>
      <c r="J2" s="14"/>
      <c r="K2" s="14"/>
    </row>
    <row r="3" spans="2:7" ht="18" customHeight="1" thickBot="1">
      <c r="B3" s="204" t="s">
        <v>166</v>
      </c>
      <c r="C3" s="4"/>
      <c r="D3" s="115"/>
      <c r="E3" s="112"/>
      <c r="F3" s="112" t="s">
        <v>111</v>
      </c>
      <c r="G3" s="113"/>
    </row>
    <row r="4" spans="2:4" ht="15.75" thickBot="1">
      <c r="B4" s="4"/>
      <c r="D4" s="7"/>
    </row>
    <row r="5" spans="2:11" ht="15.75">
      <c r="B5" s="15" t="s">
        <v>115</v>
      </c>
      <c r="C5" s="16"/>
      <c r="D5" s="17"/>
      <c r="E5" s="18"/>
      <c r="H5" s="206" t="s">
        <v>149</v>
      </c>
      <c r="I5" s="150"/>
      <c r="J5" s="150"/>
      <c r="K5" s="145"/>
    </row>
    <row r="6" spans="2:11" ht="15.75" thickBot="1">
      <c r="B6" s="225" t="s">
        <v>148</v>
      </c>
      <c r="C6" s="226"/>
      <c r="D6" s="226"/>
      <c r="E6" s="227"/>
      <c r="H6" s="207" t="s">
        <v>150</v>
      </c>
      <c r="I6" s="14"/>
      <c r="J6" s="14"/>
      <c r="K6" s="208"/>
    </row>
    <row r="7" spans="2:11" ht="15.75" thickBot="1">
      <c r="B7" s="8"/>
      <c r="C7" s="19"/>
      <c r="D7" s="7"/>
      <c r="H7" s="207" t="s">
        <v>151</v>
      </c>
      <c r="I7" s="14"/>
      <c r="J7" s="14"/>
      <c r="K7" s="208"/>
    </row>
    <row r="8" spans="2:50" ht="45.75" thickBot="1">
      <c r="B8" s="20" t="s">
        <v>28</v>
      </c>
      <c r="C8" s="21" t="s">
        <v>29</v>
      </c>
      <c r="D8" s="7"/>
      <c r="H8" s="209" t="s">
        <v>152</v>
      </c>
      <c r="I8" s="117"/>
      <c r="J8" s="117"/>
      <c r="K8" s="210"/>
      <c r="AU8" s="220" t="s">
        <v>28</v>
      </c>
      <c r="AV8" s="221" t="s">
        <v>29</v>
      </c>
      <c r="AW8" s="222"/>
      <c r="AX8" s="222"/>
    </row>
    <row r="9" spans="2:52" ht="15.75">
      <c r="B9" s="94" t="s">
        <v>30</v>
      </c>
      <c r="C9" s="3"/>
      <c r="D9" s="7"/>
      <c r="E9" s="22"/>
      <c r="AU9" s="223">
        <f>IF(AV9&gt;0,B9,"")</f>
      </c>
      <c r="AV9" s="224">
        <f aca="true" t="shared" si="0" ref="AV9:AV43">C9</f>
        <v>0</v>
      </c>
      <c r="AW9" s="222"/>
      <c r="AX9" s="222"/>
      <c r="AY9" s="7">
        <f aca="true" t="shared" si="1" ref="AY9:AY22">IF(AV9&gt;0,AU9,"")</f>
      </c>
      <c r="AZ9" s="23">
        <f aca="true" t="shared" si="2" ref="AZ9:AZ22">IF(AV9&gt;0,AV9,"")</f>
      </c>
    </row>
    <row r="10" spans="2:52" ht="15">
      <c r="B10" s="94" t="s">
        <v>31</v>
      </c>
      <c r="C10" s="5"/>
      <c r="D10" s="7"/>
      <c r="AU10" s="223">
        <f>IF(AV10&gt;0,B10,"")</f>
      </c>
      <c r="AV10" s="224">
        <f t="shared" si="0"/>
        <v>0</v>
      </c>
      <c r="AW10" s="222"/>
      <c r="AX10" s="222"/>
      <c r="AY10" s="7">
        <f t="shared" si="1"/>
      </c>
      <c r="AZ10" s="23">
        <f t="shared" si="2"/>
      </c>
    </row>
    <row r="11" spans="2:52" ht="15">
      <c r="B11" s="94" t="s">
        <v>32</v>
      </c>
      <c r="C11" s="219"/>
      <c r="D11" s="7"/>
      <c r="AU11" s="223"/>
      <c r="AV11" s="224">
        <f t="shared" si="0"/>
        <v>0</v>
      </c>
      <c r="AW11" s="222"/>
      <c r="AX11" s="222"/>
      <c r="AY11" s="7">
        <f t="shared" si="1"/>
      </c>
      <c r="AZ11" s="23">
        <f t="shared" si="2"/>
      </c>
    </row>
    <row r="12" spans="2:52" ht="15">
      <c r="B12" s="94" t="s">
        <v>33</v>
      </c>
      <c r="C12" s="3"/>
      <c r="D12" s="7"/>
      <c r="AU12" s="223">
        <f>IF(AV12&gt;0,B12,"")</f>
      </c>
      <c r="AV12" s="224">
        <f t="shared" si="0"/>
        <v>0</v>
      </c>
      <c r="AW12" s="222"/>
      <c r="AX12" s="222"/>
      <c r="AY12" s="7">
        <f t="shared" si="1"/>
      </c>
      <c r="AZ12" s="23">
        <f t="shared" si="2"/>
      </c>
    </row>
    <row r="13" spans="2:52" ht="15">
      <c r="B13" s="94" t="s">
        <v>34</v>
      </c>
      <c r="C13" s="3"/>
      <c r="D13" s="7"/>
      <c r="AU13" s="223">
        <f>IF(AV13&gt;0,B13,"")</f>
      </c>
      <c r="AV13" s="224">
        <f t="shared" si="0"/>
        <v>0</v>
      </c>
      <c r="AW13" s="222"/>
      <c r="AX13" s="222"/>
      <c r="AY13" s="7">
        <f t="shared" si="1"/>
      </c>
      <c r="AZ13" s="23">
        <f t="shared" si="2"/>
      </c>
    </row>
    <row r="14" spans="2:52" ht="15">
      <c r="B14" s="94" t="s">
        <v>35</v>
      </c>
      <c r="C14" s="219"/>
      <c r="D14" s="7"/>
      <c r="AU14" s="223"/>
      <c r="AV14" s="224">
        <f t="shared" si="0"/>
        <v>0</v>
      </c>
      <c r="AW14" s="222"/>
      <c r="AX14" s="222"/>
      <c r="AY14" s="7">
        <f t="shared" si="1"/>
      </c>
      <c r="AZ14" s="23">
        <f t="shared" si="2"/>
      </c>
    </row>
    <row r="15" spans="2:52" ht="15">
      <c r="B15" s="95" t="s">
        <v>153</v>
      </c>
      <c r="C15" s="5"/>
      <c r="D15" s="7"/>
      <c r="AU15" s="223">
        <f aca="true" t="shared" si="3" ref="AU15:AU44">IF(AV15&gt;0,B15,"")</f>
      </c>
      <c r="AV15" s="224">
        <f t="shared" si="0"/>
        <v>0</v>
      </c>
      <c r="AW15" s="222"/>
      <c r="AX15" s="222"/>
      <c r="AY15" s="7">
        <f t="shared" si="1"/>
      </c>
      <c r="AZ15" s="23">
        <f t="shared" si="2"/>
      </c>
    </row>
    <row r="16" spans="2:52" ht="15">
      <c r="B16" s="95" t="s">
        <v>158</v>
      </c>
      <c r="C16" s="5"/>
      <c r="D16" s="7"/>
      <c r="AU16" s="223">
        <f t="shared" si="3"/>
      </c>
      <c r="AV16" s="224">
        <f t="shared" si="0"/>
        <v>0</v>
      </c>
      <c r="AW16" s="222"/>
      <c r="AX16" s="222"/>
      <c r="AY16" s="7">
        <f t="shared" si="1"/>
      </c>
      <c r="AZ16" s="23">
        <f t="shared" si="2"/>
      </c>
    </row>
    <row r="17" spans="2:52" ht="15">
      <c r="B17" s="95" t="s">
        <v>157</v>
      </c>
      <c r="C17" s="5"/>
      <c r="D17" s="7"/>
      <c r="AU17" s="223">
        <f t="shared" si="3"/>
      </c>
      <c r="AV17" s="224">
        <f t="shared" si="0"/>
        <v>0</v>
      </c>
      <c r="AW17" s="222"/>
      <c r="AX17" s="222"/>
      <c r="AY17" s="7">
        <f t="shared" si="1"/>
      </c>
      <c r="AZ17" s="23">
        <f t="shared" si="2"/>
      </c>
    </row>
    <row r="18" spans="2:52" ht="15">
      <c r="B18" s="95" t="s">
        <v>156</v>
      </c>
      <c r="C18" s="5"/>
      <c r="D18" s="7"/>
      <c r="AU18" s="223">
        <f t="shared" si="3"/>
      </c>
      <c r="AV18" s="224">
        <f t="shared" si="0"/>
        <v>0</v>
      </c>
      <c r="AW18" s="222"/>
      <c r="AX18" s="222"/>
      <c r="AY18" s="7">
        <f t="shared" si="1"/>
      </c>
      <c r="AZ18" s="23">
        <f t="shared" si="2"/>
      </c>
    </row>
    <row r="19" spans="2:52" ht="15">
      <c r="B19" s="95" t="s">
        <v>155</v>
      </c>
      <c r="C19" s="5"/>
      <c r="D19" s="7"/>
      <c r="AU19" s="223">
        <f t="shared" si="3"/>
      </c>
      <c r="AV19" s="224">
        <f t="shared" si="0"/>
        <v>0</v>
      </c>
      <c r="AW19" s="222"/>
      <c r="AX19" s="222"/>
      <c r="AY19" s="7">
        <f t="shared" si="1"/>
      </c>
      <c r="AZ19" s="23">
        <f t="shared" si="2"/>
      </c>
    </row>
    <row r="20" spans="2:52" ht="15">
      <c r="B20" s="95" t="s">
        <v>154</v>
      </c>
      <c r="C20" s="5"/>
      <c r="D20" s="7"/>
      <c r="AU20" s="223">
        <f t="shared" si="3"/>
      </c>
      <c r="AV20" s="224">
        <f t="shared" si="0"/>
        <v>0</v>
      </c>
      <c r="AW20" s="222"/>
      <c r="AX20" s="222"/>
      <c r="AY20" s="7">
        <f t="shared" si="1"/>
      </c>
      <c r="AZ20" s="23">
        <f t="shared" si="2"/>
      </c>
    </row>
    <row r="21" spans="2:52" ht="15">
      <c r="B21" s="94" t="s">
        <v>52</v>
      </c>
      <c r="C21" s="219"/>
      <c r="D21" s="7"/>
      <c r="AU21" s="223">
        <f t="shared" si="3"/>
      </c>
      <c r="AV21" s="224">
        <f t="shared" si="0"/>
        <v>0</v>
      </c>
      <c r="AW21" s="222"/>
      <c r="AX21" s="222"/>
      <c r="AY21" s="7">
        <f t="shared" si="1"/>
      </c>
      <c r="AZ21" s="23">
        <f t="shared" si="2"/>
      </c>
    </row>
    <row r="22" spans="2:52" ht="15">
      <c r="B22" s="94" t="s">
        <v>36</v>
      </c>
      <c r="C22" s="5"/>
      <c r="D22" s="7"/>
      <c r="AU22" s="223">
        <f t="shared" si="3"/>
      </c>
      <c r="AV22" s="224">
        <f t="shared" si="0"/>
        <v>0</v>
      </c>
      <c r="AW22" s="222"/>
      <c r="AX22" s="222"/>
      <c r="AY22" s="7">
        <f t="shared" si="1"/>
      </c>
      <c r="AZ22" s="23">
        <f t="shared" si="2"/>
      </c>
    </row>
    <row r="23" spans="2:52" ht="15">
      <c r="B23" s="94" t="s">
        <v>37</v>
      </c>
      <c r="C23" s="5"/>
      <c r="D23" s="7"/>
      <c r="AU23" s="223">
        <f t="shared" si="3"/>
      </c>
      <c r="AV23" s="224">
        <f t="shared" si="0"/>
        <v>0</v>
      </c>
      <c r="AW23" s="222"/>
      <c r="AX23" s="222"/>
      <c r="AY23" s="7">
        <f>IF(AV25&gt;0,AU23,"")</f>
      </c>
      <c r="AZ23" s="23">
        <f aca="true" t="shared" si="4" ref="AZ23:AZ38">IF(AV25&gt;0,AV25,"")</f>
      </c>
    </row>
    <row r="24" spans="2:52" ht="15">
      <c r="B24" s="95" t="s">
        <v>146</v>
      </c>
      <c r="C24" s="5"/>
      <c r="D24" s="7"/>
      <c r="AU24" s="223">
        <f t="shared" si="3"/>
      </c>
      <c r="AV24" s="224">
        <f t="shared" si="0"/>
        <v>0</v>
      </c>
      <c r="AW24" s="222"/>
      <c r="AX24" s="222"/>
      <c r="AY24" s="7">
        <f aca="true" t="shared" si="5" ref="AY24:AY38">IF(AV26&gt;0,AU26,"")</f>
      </c>
      <c r="AZ24" s="23">
        <f t="shared" si="4"/>
      </c>
    </row>
    <row r="25" spans="2:52" ht="15">
      <c r="B25" s="95" t="s">
        <v>147</v>
      </c>
      <c r="C25" s="5"/>
      <c r="D25" s="7"/>
      <c r="AU25" s="223">
        <f t="shared" si="3"/>
      </c>
      <c r="AV25" s="224">
        <f t="shared" si="0"/>
        <v>0</v>
      </c>
      <c r="AW25" s="222"/>
      <c r="AX25" s="222"/>
      <c r="AY25" s="7">
        <f t="shared" si="5"/>
      </c>
      <c r="AZ25" s="23">
        <f t="shared" si="4"/>
      </c>
    </row>
    <row r="26" spans="2:52" ht="15">
      <c r="B26" s="94" t="s">
        <v>38</v>
      </c>
      <c r="C26" s="5"/>
      <c r="D26" s="7"/>
      <c r="AU26" s="223">
        <f t="shared" si="3"/>
      </c>
      <c r="AV26" s="224">
        <f t="shared" si="0"/>
        <v>0</v>
      </c>
      <c r="AW26" s="222"/>
      <c r="AX26" s="222"/>
      <c r="AY26" s="7">
        <f t="shared" si="5"/>
      </c>
      <c r="AZ26" s="23">
        <f t="shared" si="4"/>
      </c>
    </row>
    <row r="27" spans="2:52" ht="15">
      <c r="B27" s="94" t="s">
        <v>39</v>
      </c>
      <c r="C27" s="5"/>
      <c r="D27" s="7"/>
      <c r="AU27" s="223">
        <f t="shared" si="3"/>
      </c>
      <c r="AV27" s="224">
        <f t="shared" si="0"/>
        <v>0</v>
      </c>
      <c r="AW27" s="222"/>
      <c r="AX27" s="222"/>
      <c r="AY27" s="7">
        <f t="shared" si="5"/>
      </c>
      <c r="AZ27" s="23">
        <f t="shared" si="4"/>
      </c>
    </row>
    <row r="28" spans="2:52" ht="15">
      <c r="B28" s="94" t="s">
        <v>40</v>
      </c>
      <c r="C28" s="5"/>
      <c r="D28" s="7"/>
      <c r="AU28" s="223">
        <f t="shared" si="3"/>
      </c>
      <c r="AV28" s="224">
        <f t="shared" si="0"/>
        <v>0</v>
      </c>
      <c r="AW28" s="222"/>
      <c r="AX28" s="222"/>
      <c r="AY28" s="7">
        <f t="shared" si="5"/>
      </c>
      <c r="AZ28" s="23">
        <f t="shared" si="4"/>
      </c>
    </row>
    <row r="29" spans="2:52" ht="15">
      <c r="B29" s="94" t="s">
        <v>41</v>
      </c>
      <c r="C29" s="5"/>
      <c r="D29" s="7"/>
      <c r="AU29" s="223">
        <f t="shared" si="3"/>
      </c>
      <c r="AV29" s="224">
        <f t="shared" si="0"/>
        <v>0</v>
      </c>
      <c r="AW29" s="222"/>
      <c r="AX29" s="222"/>
      <c r="AY29" s="7">
        <f t="shared" si="5"/>
      </c>
      <c r="AZ29" s="23">
        <f t="shared" si="4"/>
      </c>
    </row>
    <row r="30" spans="2:52" ht="15">
      <c r="B30" s="94" t="s">
        <v>42</v>
      </c>
      <c r="C30" s="5"/>
      <c r="D30" s="7"/>
      <c r="AU30" s="223">
        <f t="shared" si="3"/>
      </c>
      <c r="AV30" s="224">
        <f t="shared" si="0"/>
        <v>0</v>
      </c>
      <c r="AW30" s="222"/>
      <c r="AX30" s="222"/>
      <c r="AY30" s="7">
        <f t="shared" si="5"/>
      </c>
      <c r="AZ30" s="23">
        <f t="shared" si="4"/>
      </c>
    </row>
    <row r="31" spans="2:52" ht="15">
      <c r="B31" s="95" t="s">
        <v>61</v>
      </c>
      <c r="C31" s="5"/>
      <c r="D31" s="7"/>
      <c r="AU31" s="223">
        <f t="shared" si="3"/>
      </c>
      <c r="AV31" s="224">
        <f t="shared" si="0"/>
        <v>0</v>
      </c>
      <c r="AW31" s="222"/>
      <c r="AX31" s="222"/>
      <c r="AY31" s="7">
        <f t="shared" si="5"/>
      </c>
      <c r="AZ31" s="23">
        <f t="shared" si="4"/>
      </c>
    </row>
    <row r="32" spans="2:52" ht="15">
      <c r="B32" s="185" t="s">
        <v>145</v>
      </c>
      <c r="C32" s="5"/>
      <c r="D32" s="7"/>
      <c r="AU32" s="223">
        <f t="shared" si="3"/>
      </c>
      <c r="AV32" s="224">
        <f t="shared" si="0"/>
        <v>0</v>
      </c>
      <c r="AW32" s="222"/>
      <c r="AX32" s="222"/>
      <c r="AY32" s="7">
        <f t="shared" si="5"/>
      </c>
      <c r="AZ32" s="23">
        <f t="shared" si="4"/>
      </c>
    </row>
    <row r="33" spans="2:52" ht="15">
      <c r="B33" s="185" t="s">
        <v>145</v>
      </c>
      <c r="C33" s="5"/>
      <c r="D33" s="7"/>
      <c r="AU33" s="223">
        <f t="shared" si="3"/>
      </c>
      <c r="AV33" s="224">
        <f t="shared" si="0"/>
        <v>0</v>
      </c>
      <c r="AW33" s="222"/>
      <c r="AX33" s="222"/>
      <c r="AY33" s="7">
        <f t="shared" si="5"/>
      </c>
      <c r="AZ33" s="23">
        <f t="shared" si="4"/>
      </c>
    </row>
    <row r="34" spans="2:52" ht="15">
      <c r="B34" s="185" t="s">
        <v>145</v>
      </c>
      <c r="C34" s="5"/>
      <c r="D34" s="7"/>
      <c r="AU34" s="223">
        <f t="shared" si="3"/>
      </c>
      <c r="AV34" s="224">
        <f t="shared" si="0"/>
        <v>0</v>
      </c>
      <c r="AW34" s="222"/>
      <c r="AX34" s="222"/>
      <c r="AY34" s="7">
        <f t="shared" si="5"/>
      </c>
      <c r="AZ34" s="23">
        <f t="shared" si="4"/>
      </c>
    </row>
    <row r="35" spans="2:52" ht="15">
      <c r="B35" s="185" t="s">
        <v>145</v>
      </c>
      <c r="C35" s="5"/>
      <c r="D35" s="7"/>
      <c r="AU35" s="223">
        <f t="shared" si="3"/>
      </c>
      <c r="AV35" s="224">
        <f t="shared" si="0"/>
        <v>0</v>
      </c>
      <c r="AW35" s="222"/>
      <c r="AX35" s="222"/>
      <c r="AY35" s="7">
        <f t="shared" si="5"/>
      </c>
      <c r="AZ35" s="23">
        <f t="shared" si="4"/>
      </c>
    </row>
    <row r="36" spans="2:52" ht="15">
      <c r="B36" s="185" t="s">
        <v>145</v>
      </c>
      <c r="C36" s="5"/>
      <c r="D36" s="7"/>
      <c r="AU36" s="223">
        <f t="shared" si="3"/>
      </c>
      <c r="AV36" s="224">
        <f t="shared" si="0"/>
        <v>0</v>
      </c>
      <c r="AW36" s="222"/>
      <c r="AX36" s="222"/>
      <c r="AY36" s="7">
        <f t="shared" si="5"/>
      </c>
      <c r="AZ36" s="23">
        <f t="shared" si="4"/>
      </c>
    </row>
    <row r="37" spans="2:52" ht="15">
      <c r="B37" s="185" t="s">
        <v>145</v>
      </c>
      <c r="C37" s="5"/>
      <c r="D37" s="7"/>
      <c r="AU37" s="223">
        <f t="shared" si="3"/>
      </c>
      <c r="AV37" s="224">
        <f t="shared" si="0"/>
        <v>0</v>
      </c>
      <c r="AW37" s="222"/>
      <c r="AX37" s="222"/>
      <c r="AY37" s="7">
        <f t="shared" si="5"/>
      </c>
      <c r="AZ37" s="23">
        <f t="shared" si="4"/>
      </c>
    </row>
    <row r="38" spans="2:52" ht="15">
      <c r="B38" s="185" t="s">
        <v>145</v>
      </c>
      <c r="C38" s="5"/>
      <c r="D38" s="7"/>
      <c r="AU38" s="223">
        <f t="shared" si="3"/>
      </c>
      <c r="AV38" s="224">
        <f t="shared" si="0"/>
        <v>0</v>
      </c>
      <c r="AW38" s="222"/>
      <c r="AX38" s="222"/>
      <c r="AY38" s="7">
        <f t="shared" si="5"/>
      </c>
      <c r="AZ38" s="23">
        <f t="shared" si="4"/>
      </c>
    </row>
    <row r="39" spans="2:52" ht="15">
      <c r="B39" s="185" t="s">
        <v>145</v>
      </c>
      <c r="C39" s="5"/>
      <c r="D39" s="7"/>
      <c r="AU39" s="223">
        <f t="shared" si="3"/>
      </c>
      <c r="AV39" s="224">
        <f t="shared" si="0"/>
        <v>0</v>
      </c>
      <c r="AW39" s="222"/>
      <c r="AX39" s="222"/>
      <c r="AZ39" s="23"/>
    </row>
    <row r="40" spans="2:52" ht="15">
      <c r="B40" s="94" t="s">
        <v>43</v>
      </c>
      <c r="C40" s="5"/>
      <c r="D40" s="7"/>
      <c r="AU40" s="223">
        <f t="shared" si="3"/>
      </c>
      <c r="AV40" s="224">
        <f t="shared" si="0"/>
        <v>0</v>
      </c>
      <c r="AW40" s="222"/>
      <c r="AX40" s="222"/>
      <c r="AZ40" s="23"/>
    </row>
    <row r="41" spans="2:52" ht="15.75">
      <c r="B41" s="94" t="s">
        <v>0</v>
      </c>
      <c r="C41" s="24">
        <f>SUM(C9:C40)</f>
        <v>0</v>
      </c>
      <c r="D41" s="7"/>
      <c r="AU41" s="223">
        <f t="shared" si="3"/>
      </c>
      <c r="AV41" s="224">
        <f t="shared" si="0"/>
        <v>0</v>
      </c>
      <c r="AW41" s="222"/>
      <c r="AX41" s="222"/>
      <c r="AY41" s="7">
        <f>IF(AV43&gt;0,AU43,"")</f>
      </c>
      <c r="AZ41" s="23">
        <f>IF(AV43&gt;0,AV43,"")</f>
      </c>
    </row>
    <row r="42" spans="2:51" ht="15">
      <c r="B42" s="94" t="s">
        <v>44</v>
      </c>
      <c r="C42" s="5"/>
      <c r="AU42" s="223">
        <f t="shared" si="3"/>
      </c>
      <c r="AV42" s="224">
        <f t="shared" si="0"/>
        <v>0</v>
      </c>
      <c r="AW42" s="222"/>
      <c r="AX42" s="222"/>
      <c r="AY42" s="7">
        <f>IF(AV44&gt;0,AU44,"")</f>
      </c>
    </row>
    <row r="43" spans="2:50" ht="16.5" thickBot="1">
      <c r="B43" s="96" t="s">
        <v>45</v>
      </c>
      <c r="C43" s="24">
        <f>IF(C42=0,0,C42-C41)</f>
        <v>0</v>
      </c>
      <c r="AU43" s="223">
        <f t="shared" si="3"/>
      </c>
      <c r="AV43" s="224">
        <f t="shared" si="0"/>
        <v>0</v>
      </c>
      <c r="AW43" s="222"/>
      <c r="AX43" s="222"/>
    </row>
    <row r="44" spans="2:50" ht="12.75">
      <c r="B44" s="13" t="s">
        <v>46</v>
      </c>
      <c r="AU44" s="223">
        <f t="shared" si="3"/>
      </c>
      <c r="AV44" s="222"/>
      <c r="AW44" s="222"/>
      <c r="AX44" s="222"/>
    </row>
    <row r="45" spans="47:50" ht="12.75">
      <c r="AU45" s="222"/>
      <c r="AV45" s="222"/>
      <c r="AW45" s="222"/>
      <c r="AX45" s="222"/>
    </row>
    <row r="46" spans="47:50" ht="12.75">
      <c r="AU46" s="222"/>
      <c r="AV46" s="222"/>
      <c r="AW46" s="222"/>
      <c r="AX46" s="222"/>
    </row>
    <row r="47" spans="47:50" ht="12.75">
      <c r="AU47" s="222"/>
      <c r="AV47" s="222"/>
      <c r="AW47" s="222"/>
      <c r="AX47" s="222"/>
    </row>
    <row r="48" spans="47:50" ht="12.75">
      <c r="AU48" s="222"/>
      <c r="AV48" s="222"/>
      <c r="AW48" s="222"/>
      <c r="AX48" s="222"/>
    </row>
    <row r="49" spans="47:50" ht="12.75">
      <c r="AU49" s="222"/>
      <c r="AV49" s="222"/>
      <c r="AW49" s="222"/>
      <c r="AX49" s="222"/>
    </row>
  </sheetData>
  <sheetProtection sheet="1" objects="1" scenarios="1"/>
  <mergeCells count="1">
    <mergeCell ref="B6:E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O29"/>
  <sheetViews>
    <sheetView showGridLines="0" zoomScale="80" zoomScaleNormal="80" zoomScalePageLayoutView="0" workbookViewId="0" topLeftCell="A1">
      <selection activeCell="I21" sqref="I21"/>
    </sheetView>
  </sheetViews>
  <sheetFormatPr defaultColWidth="9.140625" defaultRowHeight="12.75"/>
  <cols>
    <col min="1" max="1" width="3.421875" style="9" customWidth="1"/>
    <col min="2" max="2" width="58.57421875" style="170" customWidth="1"/>
    <col min="3" max="3" width="17.00390625" style="9" customWidth="1"/>
    <col min="4" max="4" width="19.7109375" style="9" customWidth="1"/>
    <col min="5" max="5" width="15.57421875" style="9" customWidth="1"/>
    <col min="6" max="6" width="17.00390625" style="9" customWidth="1"/>
    <col min="7" max="7" width="13.00390625" style="9" customWidth="1"/>
    <col min="8" max="13" width="9.140625" style="9" customWidth="1"/>
    <col min="14" max="14" width="10.421875" style="9" bestFit="1" customWidth="1"/>
    <col min="15" max="16384" width="9.140625" style="9" customWidth="1"/>
  </cols>
  <sheetData>
    <row r="1" spans="2:7" s="7" customFormat="1" ht="17.25" customHeight="1">
      <c r="B1" s="6" t="s">
        <v>69</v>
      </c>
      <c r="C1" s="118" t="s">
        <v>137</v>
      </c>
      <c r="D1" s="150"/>
      <c r="E1" s="129"/>
      <c r="G1" s="4" t="s">
        <v>1</v>
      </c>
    </row>
    <row r="2" spans="1:67" ht="16.5">
      <c r="A2" s="7"/>
      <c r="B2" s="204" t="s">
        <v>167</v>
      </c>
      <c r="C2" s="114"/>
      <c r="D2" s="97" t="s">
        <v>108</v>
      </c>
      <c r="E2" s="110"/>
      <c r="F2" s="7"/>
      <c r="G2" s="7"/>
      <c r="H2" s="7"/>
      <c r="I2" s="7"/>
      <c r="J2" s="7"/>
      <c r="K2" s="7"/>
      <c r="BH2" s="124"/>
      <c r="BI2" s="124"/>
      <c r="BJ2" s="124"/>
      <c r="BK2" s="124"/>
      <c r="BL2" s="124"/>
      <c r="BM2" s="124"/>
      <c r="BN2" s="124"/>
      <c r="BO2" s="124"/>
    </row>
    <row r="3" spans="1:67" s="152" customFormat="1" ht="16.5">
      <c r="A3" s="9"/>
      <c r="B3" s="204" t="s">
        <v>166</v>
      </c>
      <c r="C3" s="114"/>
      <c r="D3" s="97" t="s">
        <v>109</v>
      </c>
      <c r="E3" s="111" t="s">
        <v>110</v>
      </c>
      <c r="F3" s="9"/>
      <c r="G3" s="9"/>
      <c r="H3" s="9"/>
      <c r="I3" s="9"/>
      <c r="J3" s="9"/>
      <c r="K3" s="9"/>
      <c r="O3" s="9"/>
      <c r="P3" s="9"/>
      <c r="Q3" s="9"/>
      <c r="R3" s="9"/>
      <c r="S3" s="9"/>
      <c r="T3" s="9"/>
      <c r="BH3" s="153"/>
      <c r="BI3" s="153"/>
      <c r="BJ3" s="153"/>
      <c r="BK3" s="153"/>
      <c r="BL3" s="153"/>
      <c r="BM3" s="153"/>
      <c r="BN3" s="153"/>
      <c r="BO3" s="153"/>
    </row>
    <row r="4" spans="2:67" s="152" customFormat="1" ht="17.25" thickBot="1">
      <c r="B4" s="151"/>
      <c r="C4" s="115"/>
      <c r="D4" s="112" t="s">
        <v>111</v>
      </c>
      <c r="E4" s="113"/>
      <c r="G4" s="9"/>
      <c r="O4" s="9"/>
      <c r="P4" s="9"/>
      <c r="Q4" s="9"/>
      <c r="R4" s="9"/>
      <c r="S4" s="9"/>
      <c r="T4" s="9"/>
      <c r="BH4" s="153"/>
      <c r="BI4" s="153"/>
      <c r="BJ4" s="153"/>
      <c r="BK4" s="153"/>
      <c r="BL4" s="153"/>
      <c r="BM4" s="153"/>
      <c r="BN4" s="153"/>
      <c r="BO4" s="153"/>
    </row>
    <row r="5" spans="2:67" s="152" customFormat="1" ht="9" customHeight="1" thickBot="1">
      <c r="B5" s="151"/>
      <c r="G5" s="9"/>
      <c r="O5" s="9"/>
      <c r="P5" s="9"/>
      <c r="Q5" s="9"/>
      <c r="R5" s="9"/>
      <c r="S5" s="9"/>
      <c r="T5" s="9"/>
      <c r="BH5" s="153"/>
      <c r="BI5" s="154" t="s">
        <v>138</v>
      </c>
      <c r="BJ5" s="155"/>
      <c r="BK5" s="156" t="str">
        <f>'Utility Rate Data Input'!D16</f>
        <v>Select one</v>
      </c>
      <c r="BL5" s="153"/>
      <c r="BM5" s="153"/>
      <c r="BN5" s="153"/>
      <c r="BO5" s="153"/>
    </row>
    <row r="6" spans="2:67" s="152" customFormat="1" ht="46.5" customHeight="1" thickBot="1">
      <c r="B6" s="228" t="s">
        <v>51</v>
      </c>
      <c r="C6" s="229"/>
      <c r="D6" s="229"/>
      <c r="E6" s="229"/>
      <c r="F6" s="229"/>
      <c r="G6" s="230"/>
      <c r="O6" s="9"/>
      <c r="P6" s="9"/>
      <c r="Q6" s="9"/>
      <c r="R6" s="9"/>
      <c r="S6" s="9"/>
      <c r="T6" s="9"/>
      <c r="BH6" s="153"/>
      <c r="BI6" s="154" t="s">
        <v>139</v>
      </c>
      <c r="BJ6" s="157" t="str">
        <f>IF(BK5="Select one","unit",IF(BK5="1000 gals","1000 gals","ccf"))</f>
        <v>unit</v>
      </c>
      <c r="BK6" s="158">
        <f>'Utility Rate Data Input'!D17</f>
        <v>0</v>
      </c>
      <c r="BL6" s="153"/>
      <c r="BM6" s="153"/>
      <c r="BN6" s="153"/>
      <c r="BO6" s="153"/>
    </row>
    <row r="7" spans="1:67" s="152" customFormat="1" ht="16.5" thickBot="1">
      <c r="A7" s="9"/>
      <c r="B7" s="231" t="s">
        <v>50</v>
      </c>
      <c r="C7" s="232"/>
      <c r="D7" s="232"/>
      <c r="E7" s="232"/>
      <c r="F7" s="232"/>
      <c r="G7" s="233"/>
      <c r="O7" s="9"/>
      <c r="P7" s="9"/>
      <c r="Q7" s="9"/>
      <c r="R7" s="9"/>
      <c r="S7" s="9"/>
      <c r="T7" s="9"/>
      <c r="BH7" s="153"/>
      <c r="BI7" s="154" t="s">
        <v>140</v>
      </c>
      <c r="BJ7" s="157" t="str">
        <f>IF(BK5="Select one","unit",IF(BK5="1000 gals","1000 gals","ccf"))</f>
        <v>unit</v>
      </c>
      <c r="BK7" s="158">
        <f>'Utility Rate Data Input'!D18</f>
        <v>0</v>
      </c>
      <c r="BL7" s="153"/>
      <c r="BM7" s="153"/>
      <c r="BN7" s="153"/>
      <c r="BO7" s="153"/>
    </row>
    <row r="8" spans="1:67" s="152" customFormat="1" ht="15.75" thickBot="1">
      <c r="A8" s="9"/>
      <c r="E8" s="9"/>
      <c r="O8" s="9"/>
      <c r="P8" s="9"/>
      <c r="Q8" s="9"/>
      <c r="R8" s="9"/>
      <c r="S8" s="9"/>
      <c r="T8" s="9"/>
      <c r="BH8" s="153"/>
      <c r="BI8" s="153"/>
      <c r="BJ8" s="153"/>
      <c r="BK8" s="153"/>
      <c r="BL8" s="153"/>
      <c r="BM8" s="153"/>
      <c r="BN8" s="153"/>
      <c r="BO8" s="153"/>
    </row>
    <row r="9" spans="1:67" s="152" customFormat="1" ht="16.5" customHeight="1" thickBot="1">
      <c r="A9" s="9"/>
      <c r="B9" s="159" t="s">
        <v>99</v>
      </c>
      <c r="C9" s="160"/>
      <c r="D9" s="1" t="s">
        <v>5</v>
      </c>
      <c r="E9" s="9"/>
      <c r="O9" s="9"/>
      <c r="P9" s="9"/>
      <c r="Q9" s="9"/>
      <c r="R9" s="9"/>
      <c r="S9" s="9"/>
      <c r="T9" s="9"/>
      <c r="BF9" s="186"/>
      <c r="BG9" s="186"/>
      <c r="BH9" s="186"/>
      <c r="BI9" s="186"/>
      <c r="BJ9" s="186"/>
      <c r="BK9" s="186"/>
      <c r="BL9" s="186"/>
      <c r="BM9" s="186"/>
      <c r="BN9" s="186"/>
      <c r="BO9" s="186"/>
    </row>
    <row r="10" spans="2:67" ht="16.5" thickBot="1">
      <c r="B10" s="159" t="s">
        <v>63</v>
      </c>
      <c r="C10" s="160"/>
      <c r="D10" s="3"/>
      <c r="F10" s="152"/>
      <c r="G10" s="152"/>
      <c r="H10" s="152"/>
      <c r="I10" s="152"/>
      <c r="J10" s="152"/>
      <c r="K10" s="152"/>
      <c r="BF10" s="126"/>
      <c r="BG10" s="126"/>
      <c r="BH10" s="126"/>
      <c r="BI10" s="126"/>
      <c r="BJ10" s="126"/>
      <c r="BK10" s="126"/>
      <c r="BL10" s="126"/>
      <c r="BM10" s="126"/>
      <c r="BN10" s="126"/>
      <c r="BO10" s="126"/>
    </row>
    <row r="11" spans="2:67" ht="17.25" thickBot="1">
      <c r="B11" s="159" t="s">
        <v>100</v>
      </c>
      <c r="C11" s="161"/>
      <c r="E11" s="8"/>
      <c r="F11" s="162"/>
      <c r="G11" s="162"/>
      <c r="H11" s="162"/>
      <c r="I11" s="152"/>
      <c r="J11" s="152"/>
      <c r="K11" s="152"/>
      <c r="BF11" s="126"/>
      <c r="BG11" s="126"/>
      <c r="BH11" s="126"/>
      <c r="BI11" s="126"/>
      <c r="BJ11" s="126"/>
      <c r="BK11" s="61" t="s">
        <v>5</v>
      </c>
      <c r="BL11" s="126"/>
      <c r="BM11" s="126"/>
      <c r="BN11" s="126"/>
      <c r="BO11" s="126"/>
    </row>
    <row r="12" spans="2:67" ht="15" thickBot="1">
      <c r="B12" s="9"/>
      <c r="D12" s="126"/>
      <c r="E12" s="126"/>
      <c r="F12" s="126"/>
      <c r="I12" s="162"/>
      <c r="BF12" s="126"/>
      <c r="BG12" s="126"/>
      <c r="BH12" s="126"/>
      <c r="BI12" s="126"/>
      <c r="BJ12" s="126"/>
      <c r="BK12" s="9" t="s">
        <v>159</v>
      </c>
      <c r="BL12" s="126"/>
      <c r="BM12" s="126"/>
      <c r="BN12" s="126"/>
      <c r="BO12" s="126"/>
    </row>
    <row r="13" spans="2:67" ht="15" customHeight="1" thickBot="1">
      <c r="B13" s="163" t="s">
        <v>13</v>
      </c>
      <c r="C13" s="164" t="s">
        <v>14</v>
      </c>
      <c r="D13" s="126"/>
      <c r="E13" s="100"/>
      <c r="F13" s="126"/>
      <c r="I13" s="162"/>
      <c r="BF13" s="126"/>
      <c r="BG13" s="126"/>
      <c r="BH13" s="126"/>
      <c r="BI13" s="126"/>
      <c r="BJ13" s="126"/>
      <c r="BK13" s="186" t="s">
        <v>48</v>
      </c>
      <c r="BL13" s="126"/>
      <c r="BM13" s="126"/>
      <c r="BN13" s="126"/>
      <c r="BO13" s="126"/>
    </row>
    <row r="14" spans="2:67" ht="15" customHeight="1">
      <c r="B14" s="165" t="s">
        <v>49</v>
      </c>
      <c r="C14" s="146" t="str">
        <f>IF('Utility Rate Data Input'!D16="Select one","X",($D$10/'Utility Rate Data Input'!$AU$1)*'Utility Rate Data Input'!D17)</f>
        <v>X</v>
      </c>
      <c r="E14" s="13"/>
      <c r="F14" s="126"/>
      <c r="BF14" s="126"/>
      <c r="BG14" s="126"/>
      <c r="BH14" s="126"/>
      <c r="BI14" s="126"/>
      <c r="BJ14" s="126"/>
      <c r="BK14" s="186" t="s">
        <v>47</v>
      </c>
      <c r="BL14" s="126"/>
      <c r="BM14" s="126"/>
      <c r="BN14" s="126"/>
      <c r="BO14" s="126"/>
    </row>
    <row r="15" spans="2:67" ht="15" customHeight="1">
      <c r="B15" s="166" t="s">
        <v>16</v>
      </c>
      <c r="C15" s="146" t="str">
        <f>IF('Utility Rate Data Input'!D16="Select one","X",($D$10/'Utility Rate Data Input'!$AU$1)*'Utility Rate Data Input'!D18)</f>
        <v>X</v>
      </c>
      <c r="D15" s="126"/>
      <c r="E15" s="4"/>
      <c r="F15" s="126"/>
      <c r="BF15" s="126"/>
      <c r="BG15" s="126"/>
      <c r="BH15" s="126"/>
      <c r="BI15" s="126"/>
      <c r="BJ15" s="126"/>
      <c r="BK15" s="126"/>
      <c r="BL15" s="126"/>
      <c r="BM15" s="126"/>
      <c r="BN15" s="126"/>
      <c r="BO15" s="126"/>
    </row>
    <row r="16" spans="2:67" ht="15">
      <c r="B16" s="167" t="s">
        <v>15</v>
      </c>
      <c r="C16" s="188"/>
      <c r="D16" s="126"/>
      <c r="E16" s="126"/>
      <c r="F16" s="126"/>
      <c r="BF16" s="126"/>
      <c r="BG16" s="126"/>
      <c r="BH16" s="126"/>
      <c r="BI16" s="126"/>
      <c r="BJ16" s="126"/>
      <c r="BK16" s="126"/>
      <c r="BL16" s="126"/>
      <c r="BM16" s="126"/>
      <c r="BN16" s="126"/>
      <c r="BO16" s="126"/>
    </row>
    <row r="17" spans="2:67" ht="15">
      <c r="B17" s="166" t="s">
        <v>17</v>
      </c>
      <c r="C17" s="188"/>
      <c r="D17" s="126"/>
      <c r="E17" s="126"/>
      <c r="F17" s="126"/>
      <c r="BF17" s="126"/>
      <c r="BG17" s="126"/>
      <c r="BH17" s="126"/>
      <c r="BI17" s="126"/>
      <c r="BJ17" s="126"/>
      <c r="BK17" s="126"/>
      <c r="BL17" s="126"/>
      <c r="BM17" s="126"/>
      <c r="BN17" s="126"/>
      <c r="BO17" s="126"/>
    </row>
    <row r="18" spans="2:67" ht="15">
      <c r="B18" s="166" t="s">
        <v>18</v>
      </c>
      <c r="C18" s="188"/>
      <c r="D18" s="126"/>
      <c r="E18" s="126"/>
      <c r="F18" s="126"/>
      <c r="BF18" s="126"/>
      <c r="BG18" s="126"/>
      <c r="BH18" s="126"/>
      <c r="BI18" s="126"/>
      <c r="BJ18" s="126"/>
      <c r="BK18" s="126"/>
      <c r="BL18" s="126"/>
      <c r="BM18" s="126"/>
      <c r="BN18" s="126"/>
      <c r="BO18" s="126"/>
    </row>
    <row r="19" spans="2:6" ht="15">
      <c r="B19" s="166" t="s">
        <v>19</v>
      </c>
      <c r="C19" s="188"/>
      <c r="D19" s="126"/>
      <c r="E19" s="126"/>
      <c r="F19" s="126"/>
    </row>
    <row r="20" spans="2:3" ht="15">
      <c r="B20" s="187" t="s">
        <v>145</v>
      </c>
      <c r="C20" s="188"/>
    </row>
    <row r="21" spans="2:3" ht="15">
      <c r="B21" s="187" t="s">
        <v>145</v>
      </c>
      <c r="C21" s="189"/>
    </row>
    <row r="22" spans="2:3" ht="15" customHeight="1">
      <c r="B22" s="187" t="s">
        <v>145</v>
      </c>
      <c r="C22" s="189"/>
    </row>
    <row r="23" spans="2:3" ht="15.75" thickBot="1">
      <c r="B23" s="187" t="s">
        <v>145</v>
      </c>
      <c r="C23" s="189"/>
    </row>
    <row r="24" spans="2:5" ht="30">
      <c r="B24" s="165" t="str">
        <f>"Total Cost of water over Expense Period - one "&amp;D9</f>
        <v>Total Cost of water over Expense Period - one Select one</v>
      </c>
      <c r="C24" s="147" t="str">
        <f>IF('Utility Rate Data Input'!D16="Select one","X",SUM(C14:C23))</f>
        <v>X</v>
      </c>
      <c r="D24" s="10"/>
      <c r="E24" s="10"/>
    </row>
    <row r="25" spans="2:3" ht="15.75">
      <c r="B25" s="166" t="s">
        <v>20</v>
      </c>
      <c r="C25" s="146" t="str">
        <f>IF('Utility Rate Data Input'!D16="Select one","X",IF(D9="Quarter",C24*4,IF(D9="Year",C24,IF(D9="Month",C24*12,"X"))))</f>
        <v>X</v>
      </c>
    </row>
    <row r="26" spans="2:3" ht="16.5" thickBot="1">
      <c r="B26" s="168" t="s">
        <v>58</v>
      </c>
      <c r="C26" s="148" t="str">
        <f>IF('Utility Rate Data Input'!D16="Select one","X",IF(C25="X","X",(BK6+BK7)))</f>
        <v>X</v>
      </c>
    </row>
    <row r="27" spans="2:3" ht="16.5" thickBot="1">
      <c r="B27" s="169" t="s">
        <v>59</v>
      </c>
      <c r="C27" s="149" t="str">
        <f>IF(C25="X","X",IF(C26=0,"X",(C25/(D10/1000))))</f>
        <v>X</v>
      </c>
    </row>
    <row r="28" ht="14.25">
      <c r="B28" s="9" t="s">
        <v>60</v>
      </c>
    </row>
    <row r="29" ht="14.25">
      <c r="B29" s="9"/>
    </row>
  </sheetData>
  <sheetProtection sheet="1" objects="1" scenarios="1"/>
  <mergeCells count="2">
    <mergeCell ref="B6:G6"/>
    <mergeCell ref="B7:G7"/>
  </mergeCells>
  <dataValidations count="3">
    <dataValidation type="list" allowBlank="1" showInputMessage="1" showErrorMessage="1" sqref="BK5">
      <formula1>$P$6:$P$8</formula1>
    </dataValidation>
    <dataValidation type="list" allowBlank="1" showInputMessage="1" showErrorMessage="1" sqref="D9">
      <formula1>$BK$11:$BK$14</formula1>
    </dataValidation>
    <dataValidation type="list" allowBlank="1" showInputMessage="1" showErrorMessage="1" sqref="E3">
      <formula1>$CB$2:$CB$5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BJ40"/>
  <sheetViews>
    <sheetView zoomScale="80" zoomScaleNormal="80" zoomScalePageLayoutView="0" workbookViewId="0" topLeftCell="A1">
      <selection activeCell="G26" sqref="G26"/>
    </sheetView>
  </sheetViews>
  <sheetFormatPr defaultColWidth="10.7109375" defaultRowHeight="12.75"/>
  <cols>
    <col min="1" max="1" width="2.421875" style="9" customWidth="1"/>
    <col min="2" max="2" width="4.00390625" style="9" customWidth="1"/>
    <col min="3" max="3" width="10.00390625" style="9" customWidth="1"/>
    <col min="4" max="4" width="14.8515625" style="9" customWidth="1"/>
    <col min="5" max="5" width="18.140625" style="9" customWidth="1"/>
    <col min="6" max="6" width="18.421875" style="9" customWidth="1"/>
    <col min="7" max="7" width="12.00390625" style="9" customWidth="1"/>
    <col min="8" max="8" width="25.140625" style="9" customWidth="1"/>
    <col min="9" max="9" width="18.7109375" style="9" customWidth="1"/>
    <col min="10" max="10" width="17.8515625" style="9" customWidth="1"/>
    <col min="11" max="11" width="15.140625" style="9" customWidth="1"/>
    <col min="12" max="29" width="14.28125" style="9" customWidth="1"/>
    <col min="30" max="30" width="13.57421875" style="9" customWidth="1"/>
    <col min="31" max="31" width="17.8515625" style="9" customWidth="1"/>
    <col min="32" max="32" width="12.57421875" style="9" customWidth="1"/>
    <col min="33" max="36" width="10.7109375" style="9" customWidth="1"/>
    <col min="37" max="62" width="17.28125" style="126" customWidth="1"/>
    <col min="63" max="16384" width="10.7109375" style="9" customWidth="1"/>
  </cols>
  <sheetData>
    <row r="1" spans="3:11" ht="21" customHeight="1">
      <c r="C1" s="6" t="s">
        <v>70</v>
      </c>
      <c r="I1" s="118" t="s">
        <v>137</v>
      </c>
      <c r="J1" s="116"/>
      <c r="K1" s="145"/>
    </row>
    <row r="2" spans="3:62" s="7" customFormat="1" ht="16.5">
      <c r="C2" s="204" t="s">
        <v>163</v>
      </c>
      <c r="G2" s="4"/>
      <c r="I2" s="114"/>
      <c r="J2" s="97" t="s">
        <v>108</v>
      </c>
      <c r="K2" s="110"/>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row>
    <row r="3" spans="9:52" ht="17.25" thickBot="1">
      <c r="I3" s="115"/>
      <c r="J3" s="112" t="s">
        <v>111</v>
      </c>
      <c r="K3" s="113"/>
      <c r="AD3" s="7"/>
      <c r="AE3" s="7"/>
      <c r="AF3" s="7"/>
      <c r="AG3" s="190"/>
      <c r="AH3" s="190"/>
      <c r="AI3" s="190"/>
      <c r="AJ3" s="190"/>
      <c r="AK3" s="190"/>
      <c r="AL3" s="190"/>
      <c r="AM3" s="190"/>
      <c r="AN3" s="190"/>
      <c r="AO3" s="190"/>
      <c r="AP3" s="190"/>
      <c r="AQ3" s="190"/>
      <c r="AR3" s="190"/>
      <c r="AS3" s="190"/>
      <c r="AT3" s="190"/>
      <c r="AU3" s="190"/>
      <c r="AV3" s="190"/>
      <c r="AW3" s="190"/>
      <c r="AX3" s="190"/>
      <c r="AY3" s="190"/>
      <c r="AZ3" s="190"/>
    </row>
    <row r="4" spans="2:52" ht="36" customHeight="1" thickBot="1">
      <c r="B4" s="228" t="s">
        <v>112</v>
      </c>
      <c r="C4" s="229"/>
      <c r="D4" s="229"/>
      <c r="E4" s="229"/>
      <c r="F4" s="229"/>
      <c r="G4" s="230"/>
      <c r="AG4" s="190"/>
      <c r="AH4" s="190"/>
      <c r="AI4" s="190"/>
      <c r="AJ4" s="190"/>
      <c r="AK4" s="190"/>
      <c r="AL4" s="190"/>
      <c r="AM4" s="190"/>
      <c r="AN4" s="190"/>
      <c r="AO4" s="190"/>
      <c r="AP4" s="190"/>
      <c r="AQ4" s="190"/>
      <c r="AR4" s="190"/>
      <c r="AS4" s="190"/>
      <c r="AT4" s="190"/>
      <c r="AU4" s="190"/>
      <c r="AV4" s="190"/>
      <c r="AW4" s="190"/>
      <c r="AX4" s="190"/>
      <c r="AY4" s="190"/>
      <c r="AZ4" s="190"/>
    </row>
    <row r="5" spans="2:52" ht="16.5" customHeight="1" thickBot="1">
      <c r="B5" s="228" t="s">
        <v>162</v>
      </c>
      <c r="C5" s="229"/>
      <c r="D5" s="229"/>
      <c r="E5" s="229"/>
      <c r="F5" s="247"/>
      <c r="G5" s="248"/>
      <c r="AG5" s="190"/>
      <c r="AH5" s="190"/>
      <c r="AI5" s="190"/>
      <c r="AJ5" s="190"/>
      <c r="AK5" s="190"/>
      <c r="AL5" s="190"/>
      <c r="AM5" s="190"/>
      <c r="AN5" s="190"/>
      <c r="AO5" s="190"/>
      <c r="AP5" s="190"/>
      <c r="AQ5" s="190"/>
      <c r="AR5" s="190"/>
      <c r="AS5" s="190"/>
      <c r="AT5" s="190"/>
      <c r="AU5" s="190"/>
      <c r="AV5" s="190"/>
      <c r="AW5" s="190"/>
      <c r="AX5" s="190"/>
      <c r="AY5" s="190"/>
      <c r="AZ5" s="190"/>
    </row>
    <row r="6" spans="2:52" ht="16.5" customHeight="1" thickBot="1">
      <c r="B6" s="228" t="s">
        <v>101</v>
      </c>
      <c r="C6" s="245"/>
      <c r="D6" s="245"/>
      <c r="E6" s="245"/>
      <c r="F6" s="245"/>
      <c r="G6" s="246"/>
      <c r="AG6" s="190"/>
      <c r="AH6" s="190"/>
      <c r="AI6" s="190"/>
      <c r="AJ6" s="190"/>
      <c r="AK6" s="190"/>
      <c r="AL6" s="190"/>
      <c r="AM6" s="190"/>
      <c r="AN6" s="190"/>
      <c r="AO6" s="190"/>
      <c r="AP6" s="190"/>
      <c r="AQ6" s="190"/>
      <c r="AR6" s="190"/>
      <c r="AS6" s="190"/>
      <c r="AT6" s="190"/>
      <c r="AU6" s="190"/>
      <c r="AV6" s="190"/>
      <c r="AW6" s="190"/>
      <c r="AX6" s="190"/>
      <c r="AY6" s="190"/>
      <c r="AZ6" s="190"/>
    </row>
    <row r="7" spans="33:52" ht="15.75" customHeight="1" thickBot="1">
      <c r="AG7" s="190"/>
      <c r="AH7" s="190"/>
      <c r="AI7" s="190"/>
      <c r="AJ7" s="190"/>
      <c r="AK7" s="190"/>
      <c r="AL7" s="190"/>
      <c r="AM7" s="190"/>
      <c r="AN7" s="190"/>
      <c r="AO7" s="190"/>
      <c r="AP7" s="234" t="s">
        <v>138</v>
      </c>
      <c r="AQ7" s="235"/>
      <c r="AR7" s="235"/>
      <c r="AS7" s="235"/>
      <c r="AT7" s="236"/>
      <c r="AU7" s="191" t="str">
        <f>'Utility Rate Data Input'!D16</f>
        <v>Select one</v>
      </c>
      <c r="AV7" s="190"/>
      <c r="AW7" s="190"/>
      <c r="AX7" s="190"/>
      <c r="AY7" s="190"/>
      <c r="AZ7" s="190"/>
    </row>
    <row r="8" spans="2:52" ht="22.5" customHeight="1">
      <c r="B8" s="170" t="s">
        <v>143</v>
      </c>
      <c r="AG8" s="190"/>
      <c r="AH8" s="190"/>
      <c r="AI8" s="190"/>
      <c r="AJ8" s="190"/>
      <c r="AK8" s="190"/>
      <c r="AL8" s="190"/>
      <c r="AM8" s="190"/>
      <c r="AN8" s="190"/>
      <c r="AO8" s="190"/>
      <c r="AP8" s="190"/>
      <c r="AQ8" s="190"/>
      <c r="AR8" s="190"/>
      <c r="AS8" s="190"/>
      <c r="AT8" s="190"/>
      <c r="AU8" s="190"/>
      <c r="AV8" s="190"/>
      <c r="AW8" s="190"/>
      <c r="AX8" s="190"/>
      <c r="AY8" s="190"/>
      <c r="AZ8" s="190"/>
    </row>
    <row r="9" spans="2:52" ht="15.75" customHeight="1" thickBot="1">
      <c r="B9" s="172" t="s">
        <v>144</v>
      </c>
      <c r="AG9" s="190"/>
      <c r="AH9" s="190"/>
      <c r="AI9" s="190"/>
      <c r="AJ9" s="190"/>
      <c r="AK9" s="190"/>
      <c r="AL9" s="190"/>
      <c r="AM9" s="190"/>
      <c r="AN9" s="190"/>
      <c r="AO9" s="190" t="s">
        <v>5</v>
      </c>
      <c r="AP9" s="190"/>
      <c r="AQ9" s="190"/>
      <c r="AR9" s="190"/>
      <c r="AS9" s="190"/>
      <c r="AT9" s="190">
        <f>IF(AU7="Select one","",AU7)</f>
      </c>
      <c r="AU9" s="190"/>
      <c r="AV9" s="190"/>
      <c r="AW9" s="190"/>
      <c r="AX9" s="190"/>
      <c r="AY9" s="190"/>
      <c r="AZ9" s="190"/>
    </row>
    <row r="10" spans="3:52" ht="27.75" customHeight="1" thickBot="1">
      <c r="C10" s="228" t="s">
        <v>102</v>
      </c>
      <c r="D10" s="229"/>
      <c r="E10" s="230"/>
      <c r="AG10" s="190"/>
      <c r="AH10" s="190"/>
      <c r="AI10" s="190"/>
      <c r="AJ10" s="190"/>
      <c r="AK10" s="190"/>
      <c r="AL10" s="190"/>
      <c r="AM10" s="190"/>
      <c r="AN10" s="190"/>
      <c r="AO10" s="190" t="s">
        <v>3</v>
      </c>
      <c r="AP10" s="190"/>
      <c r="AQ10" s="190"/>
      <c r="AR10" s="190"/>
      <c r="AS10" s="190"/>
      <c r="AT10" s="190"/>
      <c r="AU10" s="190"/>
      <c r="AV10" s="190"/>
      <c r="AW10" s="190"/>
      <c r="AX10" s="190"/>
      <c r="AY10" s="190"/>
      <c r="AZ10" s="190"/>
    </row>
    <row r="11" spans="3:52" ht="15.75" customHeight="1" thickBot="1">
      <c r="C11" s="249" t="s">
        <v>21</v>
      </c>
      <c r="D11" s="241" t="str">
        <f>"* Potable or Well Water Inflow - in      "&amp;AT9</f>
        <v>* Potable or Well Water Inflow - in      </v>
      </c>
      <c r="E11" s="241" t="str">
        <f>"* Utility Sewer Water Outflow  - in "&amp;AT9</f>
        <v>* Utility Sewer Water Outflow  - in </v>
      </c>
      <c r="F11" s="243">
        <f>IF(F5="","",F5)</f>
      </c>
      <c r="AG11" s="190"/>
      <c r="AH11" s="190"/>
      <c r="AI11" s="190"/>
      <c r="AJ11" s="190"/>
      <c r="AK11" s="190"/>
      <c r="AL11" s="190"/>
      <c r="AM11" s="190"/>
      <c r="AN11" s="190"/>
      <c r="AO11" s="190" t="s">
        <v>62</v>
      </c>
      <c r="AP11" s="190"/>
      <c r="AQ11" s="190"/>
      <c r="AR11" s="190"/>
      <c r="AS11" s="190"/>
      <c r="AT11" s="190"/>
      <c r="AU11" s="190"/>
      <c r="AV11" s="190"/>
      <c r="AW11" s="190"/>
      <c r="AX11" s="190"/>
      <c r="AY11" s="190"/>
      <c r="AZ11" s="190"/>
    </row>
    <row r="12" spans="3:52" ht="45.75" customHeight="1" thickBot="1">
      <c r="C12" s="250"/>
      <c r="D12" s="242"/>
      <c r="E12" s="242"/>
      <c r="F12" s="244"/>
      <c r="AG12" s="190"/>
      <c r="AH12" s="190"/>
      <c r="AI12" s="190"/>
      <c r="AJ12" s="190"/>
      <c r="AK12" s="190"/>
      <c r="AL12" s="190"/>
      <c r="AM12" s="190"/>
      <c r="AN12" s="192" t="s">
        <v>21</v>
      </c>
      <c r="AO12" s="237" t="s">
        <v>22</v>
      </c>
      <c r="AP12" s="237" t="s">
        <v>23</v>
      </c>
      <c r="AQ12" s="239" t="s">
        <v>24</v>
      </c>
      <c r="AR12" s="190"/>
      <c r="AS12" s="190"/>
      <c r="AT12" s="190"/>
      <c r="AU12" s="190"/>
      <c r="AV12" s="190"/>
      <c r="AW12" s="190"/>
      <c r="AX12" s="190"/>
      <c r="AY12" s="190"/>
      <c r="AZ12" s="190"/>
    </row>
    <row r="13" spans="3:52" ht="16.5" customHeight="1" thickBot="1">
      <c r="C13" s="98"/>
      <c r="D13" s="3"/>
      <c r="E13" s="3"/>
      <c r="F13" s="2"/>
      <c r="AG13" s="190"/>
      <c r="AH13" s="190"/>
      <c r="AI13" s="190"/>
      <c r="AJ13" s="190"/>
      <c r="AK13" s="190"/>
      <c r="AL13" s="190"/>
      <c r="AM13" s="190"/>
      <c r="AN13" s="193"/>
      <c r="AO13" s="238"/>
      <c r="AP13" s="238"/>
      <c r="AQ13" s="240"/>
      <c r="AR13" s="190"/>
      <c r="AS13" s="190"/>
      <c r="AT13" s="190"/>
      <c r="AU13" s="190"/>
      <c r="AV13" s="190"/>
      <c r="AW13" s="190"/>
      <c r="AX13" s="190"/>
      <c r="AY13" s="190"/>
      <c r="AZ13" s="190"/>
    </row>
    <row r="14" spans="3:52" ht="17.25" customHeight="1">
      <c r="C14" s="98"/>
      <c r="D14" s="3"/>
      <c r="E14" s="3"/>
      <c r="F14" s="2"/>
      <c r="AG14" s="190"/>
      <c r="AH14" s="190"/>
      <c r="AI14" s="190"/>
      <c r="AJ14" s="190"/>
      <c r="AK14" s="190"/>
      <c r="AL14" s="190"/>
      <c r="AM14" s="190"/>
      <c r="AN14" s="194">
        <f>C13</f>
        <v>0</v>
      </c>
      <c r="AO14" s="195" t="str">
        <f aca="true" t="shared" si="0" ref="AO14:AO25">IF($AU$7="Select one","X",IF($AU$7="1000 gals",D13*1000,D13*748))</f>
        <v>X</v>
      </c>
      <c r="AP14" s="195" t="str">
        <f aca="true" t="shared" si="1" ref="AP14:AP25">IF($AU$7="Select one","X",IF($AU$7="1000 gals",E13*1000,E13*748))</f>
        <v>X</v>
      </c>
      <c r="AQ14" s="196">
        <f aca="true" t="shared" si="2" ref="AQ14:AQ25">F13</f>
        <v>0</v>
      </c>
      <c r="AR14" s="190" t="b">
        <f>IF($AU$7="1000 gals",(D13/1000)*'Utility Rate Data Input'!$D$17,IF($AU$7="ccf",(D13/748)*'Utility Rate Data Input'!$D$17))</f>
        <v>0</v>
      </c>
      <c r="AS14" s="190" t="b">
        <f>IF($AU$7="1000 gals",(E13/1000)*'Utility Rate Data Input'!$D$18,IF($AU$7="ccf",(E13/748)*'Utility Rate Data Input'!$D$18))</f>
        <v>0</v>
      </c>
      <c r="AT14" s="190"/>
      <c r="AU14" s="190"/>
      <c r="AV14" s="190"/>
      <c r="AW14" s="190"/>
      <c r="AX14" s="190"/>
      <c r="AY14" s="190"/>
      <c r="AZ14" s="190"/>
    </row>
    <row r="15" spans="3:52" ht="16.5" customHeight="1">
      <c r="C15" s="98"/>
      <c r="D15" s="3"/>
      <c r="E15" s="3"/>
      <c r="F15" s="2"/>
      <c r="AG15" s="190"/>
      <c r="AH15" s="190"/>
      <c r="AI15" s="190"/>
      <c r="AJ15" s="190"/>
      <c r="AK15" s="190"/>
      <c r="AL15" s="190"/>
      <c r="AM15" s="190"/>
      <c r="AN15" s="194">
        <f aca="true" t="shared" si="3" ref="AN15:AN25">C14</f>
        <v>0</v>
      </c>
      <c r="AO15" s="195" t="str">
        <f t="shared" si="0"/>
        <v>X</v>
      </c>
      <c r="AP15" s="195" t="str">
        <f t="shared" si="1"/>
        <v>X</v>
      </c>
      <c r="AQ15" s="196">
        <f t="shared" si="2"/>
        <v>0</v>
      </c>
      <c r="AR15" s="190" t="b">
        <f>IF($AU$7="1000 gals",(D14/1000)*'Utility Rate Data Input'!$D$17,IF($AU$7="ccf",(D14/748)*'Utility Rate Data Input'!$D$17))</f>
        <v>0</v>
      </c>
      <c r="AS15" s="190" t="b">
        <f>IF($AU$7="1000 gals",(E14/1000)*'Utility Rate Data Input'!$D$18,IF($AU$7="ccf",(E14/748)*'Utility Rate Data Input'!$D$18))</f>
        <v>0</v>
      </c>
      <c r="AT15" s="190"/>
      <c r="AU15" s="190"/>
      <c r="AV15" s="190"/>
      <c r="AW15" s="190"/>
      <c r="AX15" s="190"/>
      <c r="AY15" s="190"/>
      <c r="AZ15" s="190"/>
    </row>
    <row r="16" spans="3:52" ht="15">
      <c r="C16" s="98"/>
      <c r="D16" s="3"/>
      <c r="E16" s="3"/>
      <c r="F16" s="2"/>
      <c r="AG16" s="190"/>
      <c r="AH16" s="190"/>
      <c r="AI16" s="190"/>
      <c r="AJ16" s="190"/>
      <c r="AK16" s="190"/>
      <c r="AL16" s="190"/>
      <c r="AM16" s="190"/>
      <c r="AN16" s="194">
        <f t="shared" si="3"/>
        <v>0</v>
      </c>
      <c r="AO16" s="195" t="str">
        <f t="shared" si="0"/>
        <v>X</v>
      </c>
      <c r="AP16" s="195" t="str">
        <f t="shared" si="1"/>
        <v>X</v>
      </c>
      <c r="AQ16" s="196">
        <f t="shared" si="2"/>
        <v>0</v>
      </c>
      <c r="AR16" s="190" t="b">
        <f>IF($AU$7="1000 gals",(D15/1000)*'Utility Rate Data Input'!$D$17,IF($AU$7="ccf",(D15/748)*'Utility Rate Data Input'!$D$17))</f>
        <v>0</v>
      </c>
      <c r="AS16" s="190" t="b">
        <f>IF($AU$7="1000 gals",(E15/1000)*'Utility Rate Data Input'!$D$18,IF($AU$7="ccf",(E15/748)*'Utility Rate Data Input'!$D$18))</f>
        <v>0</v>
      </c>
      <c r="AT16" s="190"/>
      <c r="AU16" s="190"/>
      <c r="AV16" s="190"/>
      <c r="AW16" s="190"/>
      <c r="AX16" s="190"/>
      <c r="AY16" s="190"/>
      <c r="AZ16" s="190"/>
    </row>
    <row r="17" spans="3:52" ht="15">
      <c r="C17" s="98"/>
      <c r="D17" s="3"/>
      <c r="E17" s="3"/>
      <c r="F17" s="2"/>
      <c r="AG17" s="190"/>
      <c r="AH17" s="190"/>
      <c r="AI17" s="190"/>
      <c r="AJ17" s="190"/>
      <c r="AK17" s="190"/>
      <c r="AL17" s="190"/>
      <c r="AM17" s="190"/>
      <c r="AN17" s="194">
        <f t="shared" si="3"/>
        <v>0</v>
      </c>
      <c r="AO17" s="195" t="str">
        <f t="shared" si="0"/>
        <v>X</v>
      </c>
      <c r="AP17" s="195" t="str">
        <f t="shared" si="1"/>
        <v>X</v>
      </c>
      <c r="AQ17" s="196">
        <f t="shared" si="2"/>
        <v>0</v>
      </c>
      <c r="AR17" s="190" t="b">
        <f>IF($AU$7="1000 gals",(D16/1000)*'Utility Rate Data Input'!$D$17,IF($AU$7="ccf",(D16/748)*'Utility Rate Data Input'!$D$17))</f>
        <v>0</v>
      </c>
      <c r="AS17" s="190" t="b">
        <f>IF($AU$7="1000 gals",(E16/1000)*'Utility Rate Data Input'!$D$18,IF($AU$7="ccf",(E16/748)*'Utility Rate Data Input'!$D$18))</f>
        <v>0</v>
      </c>
      <c r="AT17" s="190"/>
      <c r="AU17" s="190"/>
      <c r="AV17" s="190"/>
      <c r="AW17" s="190"/>
      <c r="AX17" s="190"/>
      <c r="AY17" s="190"/>
      <c r="AZ17" s="190"/>
    </row>
    <row r="18" spans="3:52" ht="15">
      <c r="C18" s="98"/>
      <c r="D18" s="3"/>
      <c r="E18" s="3"/>
      <c r="F18" s="2"/>
      <c r="AG18" s="190"/>
      <c r="AH18" s="190"/>
      <c r="AI18" s="190"/>
      <c r="AJ18" s="190"/>
      <c r="AK18" s="190"/>
      <c r="AL18" s="190"/>
      <c r="AM18" s="190"/>
      <c r="AN18" s="194">
        <f t="shared" si="3"/>
        <v>0</v>
      </c>
      <c r="AO18" s="195" t="str">
        <f t="shared" si="0"/>
        <v>X</v>
      </c>
      <c r="AP18" s="195" t="str">
        <f t="shared" si="1"/>
        <v>X</v>
      </c>
      <c r="AQ18" s="196">
        <f t="shared" si="2"/>
        <v>0</v>
      </c>
      <c r="AR18" s="190" t="b">
        <f>IF($AU$7="1000 gals",(D17/1000)*'Utility Rate Data Input'!$D$17,IF($AU$7="ccf",(D17/748)*'Utility Rate Data Input'!$D$17))</f>
        <v>0</v>
      </c>
      <c r="AS18" s="190" t="b">
        <f>IF($AU$7="1000 gals",(E17/1000)*'Utility Rate Data Input'!$D$18,IF($AU$7="ccf",(E17/748)*'Utility Rate Data Input'!$D$18))</f>
        <v>0</v>
      </c>
      <c r="AT18" s="190"/>
      <c r="AU18" s="190"/>
      <c r="AV18" s="190"/>
      <c r="AW18" s="190"/>
      <c r="AX18" s="190"/>
      <c r="AY18" s="190"/>
      <c r="AZ18" s="190"/>
    </row>
    <row r="19" spans="3:52" ht="15">
      <c r="C19" s="98"/>
      <c r="D19" s="3"/>
      <c r="E19" s="3"/>
      <c r="F19" s="2"/>
      <c r="AG19" s="190"/>
      <c r="AH19" s="190"/>
      <c r="AI19" s="190"/>
      <c r="AJ19" s="190"/>
      <c r="AK19" s="190"/>
      <c r="AL19" s="190"/>
      <c r="AM19" s="190"/>
      <c r="AN19" s="194">
        <f t="shared" si="3"/>
        <v>0</v>
      </c>
      <c r="AO19" s="195" t="str">
        <f t="shared" si="0"/>
        <v>X</v>
      </c>
      <c r="AP19" s="195" t="str">
        <f t="shared" si="1"/>
        <v>X</v>
      </c>
      <c r="AQ19" s="196">
        <f t="shared" si="2"/>
        <v>0</v>
      </c>
      <c r="AR19" s="190" t="b">
        <f>IF($AU$7="1000 gals",(D18/1000)*'Utility Rate Data Input'!$D$17,IF($AU$7="ccf",(D18/748)*'Utility Rate Data Input'!$D$17))</f>
        <v>0</v>
      </c>
      <c r="AS19" s="190" t="b">
        <f>IF($AU$7="1000 gals",(E18/1000)*'Utility Rate Data Input'!$D$18,IF($AU$7="ccf",(E18/748)*'Utility Rate Data Input'!$D$18))</f>
        <v>0</v>
      </c>
      <c r="AT19" s="190"/>
      <c r="AU19" s="190"/>
      <c r="AV19" s="190"/>
      <c r="AW19" s="190"/>
      <c r="AX19" s="190"/>
      <c r="AY19" s="190"/>
      <c r="AZ19" s="190"/>
    </row>
    <row r="20" spans="3:52" ht="15">
      <c r="C20" s="98"/>
      <c r="D20" s="3"/>
      <c r="E20" s="3"/>
      <c r="F20" s="2"/>
      <c r="AG20" s="190"/>
      <c r="AH20" s="190"/>
      <c r="AI20" s="190"/>
      <c r="AJ20" s="190"/>
      <c r="AK20" s="190"/>
      <c r="AL20" s="190"/>
      <c r="AM20" s="190"/>
      <c r="AN20" s="194">
        <f t="shared" si="3"/>
        <v>0</v>
      </c>
      <c r="AO20" s="195" t="str">
        <f t="shared" si="0"/>
        <v>X</v>
      </c>
      <c r="AP20" s="195" t="str">
        <f t="shared" si="1"/>
        <v>X</v>
      </c>
      <c r="AQ20" s="196">
        <f t="shared" si="2"/>
        <v>0</v>
      </c>
      <c r="AR20" s="190" t="b">
        <f>IF($AU$7="1000 gals",(D19/1000)*'Utility Rate Data Input'!$D$17,IF($AU$7="ccf",(D19/748)*'Utility Rate Data Input'!$D$17))</f>
        <v>0</v>
      </c>
      <c r="AS20" s="190" t="b">
        <f>IF($AU$7="1000 gals",(E19/1000)*'Utility Rate Data Input'!$D$18,IF($AU$7="ccf",(E19/748)*'Utility Rate Data Input'!$D$18))</f>
        <v>0</v>
      </c>
      <c r="AT20" s="190"/>
      <c r="AU20" s="190"/>
      <c r="AV20" s="190"/>
      <c r="AW20" s="190"/>
      <c r="AX20" s="190"/>
      <c r="AY20" s="190"/>
      <c r="AZ20" s="190"/>
    </row>
    <row r="21" spans="3:52" ht="15">
      <c r="C21" s="98"/>
      <c r="D21" s="3"/>
      <c r="E21" s="3"/>
      <c r="F21" s="2"/>
      <c r="AG21" s="190"/>
      <c r="AH21" s="190"/>
      <c r="AI21" s="190"/>
      <c r="AJ21" s="190"/>
      <c r="AK21" s="190"/>
      <c r="AL21" s="190"/>
      <c r="AM21" s="190"/>
      <c r="AN21" s="194">
        <f t="shared" si="3"/>
        <v>0</v>
      </c>
      <c r="AO21" s="195" t="str">
        <f t="shared" si="0"/>
        <v>X</v>
      </c>
      <c r="AP21" s="195" t="str">
        <f t="shared" si="1"/>
        <v>X</v>
      </c>
      <c r="AQ21" s="196">
        <f t="shared" si="2"/>
        <v>0</v>
      </c>
      <c r="AR21" s="190" t="b">
        <f>IF($AU$7="1000 gals",(D20/1000)*'Utility Rate Data Input'!$D$17,IF($AU$7="ccf",(D20/748)*'Utility Rate Data Input'!$D$17))</f>
        <v>0</v>
      </c>
      <c r="AS21" s="190" t="b">
        <f>IF($AU$7="1000 gals",(E20/1000)*'Utility Rate Data Input'!$D$18,IF($AU$7="ccf",(E20/748)*'Utility Rate Data Input'!$D$18))</f>
        <v>0</v>
      </c>
      <c r="AT21" s="190"/>
      <c r="AU21" s="190"/>
      <c r="AV21" s="190"/>
      <c r="AW21" s="190"/>
      <c r="AX21" s="190"/>
      <c r="AY21" s="190"/>
      <c r="AZ21" s="190"/>
    </row>
    <row r="22" spans="3:52" ht="15">
      <c r="C22" s="98"/>
      <c r="D22" s="3"/>
      <c r="E22" s="3"/>
      <c r="F22" s="2"/>
      <c r="AG22" s="190"/>
      <c r="AH22" s="190"/>
      <c r="AI22" s="190"/>
      <c r="AJ22" s="190"/>
      <c r="AK22" s="190"/>
      <c r="AL22" s="190"/>
      <c r="AM22" s="190"/>
      <c r="AN22" s="194">
        <f t="shared" si="3"/>
        <v>0</v>
      </c>
      <c r="AO22" s="195" t="str">
        <f t="shared" si="0"/>
        <v>X</v>
      </c>
      <c r="AP22" s="195" t="str">
        <f t="shared" si="1"/>
        <v>X</v>
      </c>
      <c r="AQ22" s="196">
        <f t="shared" si="2"/>
        <v>0</v>
      </c>
      <c r="AR22" s="190" t="b">
        <f>IF($AU$7="1000 gals",(D21/1000)*'Utility Rate Data Input'!$D$17,IF($AU$7="ccf",(D21/748)*'Utility Rate Data Input'!$D$17))</f>
        <v>0</v>
      </c>
      <c r="AS22" s="190" t="b">
        <f>IF($AU$7="1000 gals",(E21/1000)*'Utility Rate Data Input'!$D$18,IF($AU$7="ccf",(E21/748)*'Utility Rate Data Input'!$D$18))</f>
        <v>0</v>
      </c>
      <c r="AT22" s="190"/>
      <c r="AU22" s="190"/>
      <c r="AV22" s="190"/>
      <c r="AW22" s="190"/>
      <c r="AX22" s="190"/>
      <c r="AY22" s="190"/>
      <c r="AZ22" s="190"/>
    </row>
    <row r="23" spans="3:52" ht="15">
      <c r="C23" s="98"/>
      <c r="D23" s="3"/>
      <c r="E23" s="3"/>
      <c r="F23" s="2"/>
      <c r="AG23" s="190"/>
      <c r="AH23" s="190"/>
      <c r="AI23" s="190"/>
      <c r="AJ23" s="190"/>
      <c r="AK23" s="190"/>
      <c r="AL23" s="190"/>
      <c r="AM23" s="190"/>
      <c r="AN23" s="194">
        <f t="shared" si="3"/>
        <v>0</v>
      </c>
      <c r="AO23" s="195" t="str">
        <f t="shared" si="0"/>
        <v>X</v>
      </c>
      <c r="AP23" s="195" t="str">
        <f t="shared" si="1"/>
        <v>X</v>
      </c>
      <c r="AQ23" s="196">
        <f t="shared" si="2"/>
        <v>0</v>
      </c>
      <c r="AR23" s="190" t="b">
        <f>IF($AU$7="1000 gals",(D22/1000)*'Utility Rate Data Input'!$D$17,IF($AU$7="ccf",(D22/748)*'Utility Rate Data Input'!$D$17))</f>
        <v>0</v>
      </c>
      <c r="AS23" s="190" t="b">
        <f>IF($AU$7="1000 gals",(E22/1000)*'Utility Rate Data Input'!$D$18,IF($AU$7="ccf",(E22/748)*'Utility Rate Data Input'!$D$18))</f>
        <v>0</v>
      </c>
      <c r="AT23" s="190"/>
      <c r="AU23" s="190"/>
      <c r="AV23" s="190"/>
      <c r="AW23" s="190"/>
      <c r="AX23" s="190"/>
      <c r="AY23" s="190"/>
      <c r="AZ23" s="190"/>
    </row>
    <row r="24" spans="3:52" ht="15">
      <c r="C24" s="98"/>
      <c r="D24" s="3"/>
      <c r="E24" s="3"/>
      <c r="F24" s="2"/>
      <c r="AG24" s="190"/>
      <c r="AH24" s="190"/>
      <c r="AI24" s="190"/>
      <c r="AJ24" s="190"/>
      <c r="AK24" s="190"/>
      <c r="AL24" s="190"/>
      <c r="AM24" s="190"/>
      <c r="AN24" s="194">
        <f t="shared" si="3"/>
        <v>0</v>
      </c>
      <c r="AO24" s="195" t="str">
        <f t="shared" si="0"/>
        <v>X</v>
      </c>
      <c r="AP24" s="195" t="str">
        <f t="shared" si="1"/>
        <v>X</v>
      </c>
      <c r="AQ24" s="196">
        <f t="shared" si="2"/>
        <v>0</v>
      </c>
      <c r="AR24" s="190" t="b">
        <f>IF($AU$7="1000 gals",(D23/1000)*'Utility Rate Data Input'!$D$17,IF($AU$7="ccf",(D23/748)*'Utility Rate Data Input'!$D$17))</f>
        <v>0</v>
      </c>
      <c r="AS24" s="190" t="b">
        <f>IF($AU$7="1000 gals",(E23/1000)*'Utility Rate Data Input'!$D$18,IF($AU$7="ccf",(E23/748)*'Utility Rate Data Input'!$D$18))</f>
        <v>0</v>
      </c>
      <c r="AT24" s="190"/>
      <c r="AU24" s="190"/>
      <c r="AV24" s="190"/>
      <c r="AW24" s="190"/>
      <c r="AX24" s="190"/>
      <c r="AY24" s="190"/>
      <c r="AZ24" s="190"/>
    </row>
    <row r="25" spans="3:52" ht="14.25">
      <c r="C25" s="9" t="s">
        <v>25</v>
      </c>
      <c r="F25" s="10"/>
      <c r="AG25" s="190"/>
      <c r="AH25" s="190"/>
      <c r="AI25" s="190"/>
      <c r="AJ25" s="190"/>
      <c r="AK25" s="190"/>
      <c r="AL25" s="190"/>
      <c r="AM25" s="190"/>
      <c r="AN25" s="194">
        <f t="shared" si="3"/>
        <v>0</v>
      </c>
      <c r="AO25" s="195" t="str">
        <f t="shared" si="0"/>
        <v>X</v>
      </c>
      <c r="AP25" s="195" t="str">
        <f t="shared" si="1"/>
        <v>X</v>
      </c>
      <c r="AQ25" s="196">
        <f t="shared" si="2"/>
        <v>0</v>
      </c>
      <c r="AR25" s="190" t="b">
        <f>IF($AU$7="1000 gals",(D24/1000)*'Utility Rate Data Input'!$D$17,IF($AU$7="ccf",(D24/748)*'Utility Rate Data Input'!$D$17))</f>
        <v>0</v>
      </c>
      <c r="AS25" s="190" t="b">
        <f>IF($AU$7="1000 gals",(E24/1000)*'Utility Rate Data Input'!$D$18,IF($AU$7="ccf",(E24/748)*'Utility Rate Data Input'!$D$18))</f>
        <v>0</v>
      </c>
      <c r="AT25" s="190"/>
      <c r="AU25" s="190"/>
      <c r="AV25" s="190"/>
      <c r="AW25" s="190"/>
      <c r="AX25" s="190"/>
      <c r="AY25" s="190"/>
      <c r="AZ25" s="190"/>
    </row>
    <row r="26" spans="3:52" ht="14.25">
      <c r="C26" s="9" t="s">
        <v>141</v>
      </c>
      <c r="AG26" s="190"/>
      <c r="AH26" s="190"/>
      <c r="AI26" s="190"/>
      <c r="AJ26" s="190"/>
      <c r="AK26" s="190"/>
      <c r="AL26" s="190"/>
      <c r="AM26" s="190"/>
      <c r="AN26" s="190" t="s">
        <v>25</v>
      </c>
      <c r="AO26" s="190"/>
      <c r="AP26" s="190"/>
      <c r="AQ26" s="197"/>
      <c r="AR26" s="190"/>
      <c r="AS26" s="190"/>
      <c r="AT26" s="190"/>
      <c r="AU26" s="190"/>
      <c r="AV26" s="190"/>
      <c r="AW26" s="190"/>
      <c r="AX26" s="190"/>
      <c r="AY26" s="190"/>
      <c r="AZ26" s="190"/>
    </row>
    <row r="27" spans="3:52" ht="14.25">
      <c r="C27" s="9" t="s">
        <v>142</v>
      </c>
      <c r="AG27" s="190"/>
      <c r="AH27" s="190"/>
      <c r="AI27" s="190"/>
      <c r="AJ27" s="190"/>
      <c r="AK27" s="190"/>
      <c r="AL27" s="190"/>
      <c r="AM27" s="190"/>
      <c r="AN27" s="190"/>
      <c r="AO27" s="190"/>
      <c r="AP27" s="190"/>
      <c r="AQ27" s="190"/>
      <c r="AR27" s="190"/>
      <c r="AS27" s="190"/>
      <c r="AT27" s="190"/>
      <c r="AU27" s="190"/>
      <c r="AV27" s="190"/>
      <c r="AW27" s="190"/>
      <c r="AX27" s="190"/>
      <c r="AY27" s="190"/>
      <c r="AZ27" s="190"/>
    </row>
    <row r="28" spans="33:52" ht="14.25">
      <c r="AG28" s="190"/>
      <c r="AH28" s="190"/>
      <c r="AI28" s="190"/>
      <c r="AJ28" s="190"/>
      <c r="AK28" s="190"/>
      <c r="AL28" s="190"/>
      <c r="AM28" s="190"/>
      <c r="AN28" s="190"/>
      <c r="AO28" s="190"/>
      <c r="AP28" s="190"/>
      <c r="AQ28" s="190"/>
      <c r="AR28" s="190"/>
      <c r="AS28" s="190"/>
      <c r="AT28" s="190"/>
      <c r="AU28" s="190"/>
      <c r="AV28" s="190"/>
      <c r="AW28" s="190"/>
      <c r="AX28" s="190"/>
      <c r="AY28" s="190"/>
      <c r="AZ28" s="190"/>
    </row>
    <row r="29" spans="8:52" ht="15">
      <c r="H29" s="11"/>
      <c r="J29" s="11"/>
      <c r="K29" s="11"/>
      <c r="L29" s="11"/>
      <c r="M29" s="11"/>
      <c r="N29" s="11"/>
      <c r="O29" s="11"/>
      <c r="P29" s="11"/>
      <c r="Q29" s="11"/>
      <c r="R29" s="11"/>
      <c r="S29" s="11"/>
      <c r="T29" s="11"/>
      <c r="U29" s="11"/>
      <c r="V29" s="11"/>
      <c r="W29" s="11"/>
      <c r="X29" s="11"/>
      <c r="Y29" s="11"/>
      <c r="Z29" s="11"/>
      <c r="AA29" s="11"/>
      <c r="AB29" s="11"/>
      <c r="AC29" s="11"/>
      <c r="AD29" s="11"/>
      <c r="AG29" s="190"/>
      <c r="AH29" s="190"/>
      <c r="AI29" s="190"/>
      <c r="AJ29" s="190"/>
      <c r="AK29" s="190"/>
      <c r="AL29" s="190"/>
      <c r="AM29" s="190"/>
      <c r="AN29" s="190"/>
      <c r="AO29" s="190"/>
      <c r="AP29" s="190"/>
      <c r="AQ29" s="190"/>
      <c r="AR29" s="190"/>
      <c r="AS29" s="190"/>
      <c r="AT29" s="190"/>
      <c r="AU29" s="190"/>
      <c r="AV29" s="190"/>
      <c r="AW29" s="190"/>
      <c r="AX29" s="190"/>
      <c r="AY29" s="190"/>
      <c r="AZ29" s="190"/>
    </row>
    <row r="30" spans="3:52" ht="15">
      <c r="C30" s="11"/>
      <c r="D30" s="11"/>
      <c r="E30" s="11"/>
      <c r="F30" s="11"/>
      <c r="G30" s="11"/>
      <c r="I30" s="11"/>
      <c r="AG30" s="190"/>
      <c r="AH30" s="198"/>
      <c r="AI30" s="198"/>
      <c r="AJ30" s="198"/>
      <c r="AK30" s="198"/>
      <c r="AL30" s="190"/>
      <c r="AM30" s="190"/>
      <c r="AN30" s="190"/>
      <c r="AO30" s="190"/>
      <c r="AP30" s="190"/>
      <c r="AQ30" s="190"/>
      <c r="AR30" s="190"/>
      <c r="AS30" s="190"/>
      <c r="AT30" s="190"/>
      <c r="AU30" s="190"/>
      <c r="AV30" s="190"/>
      <c r="AW30" s="190"/>
      <c r="AX30" s="190"/>
      <c r="AY30" s="190"/>
      <c r="AZ30" s="190"/>
    </row>
    <row r="31" spans="31:52" ht="15">
      <c r="AE31" s="11"/>
      <c r="AF31" s="11"/>
      <c r="AG31" s="198"/>
      <c r="AH31" s="190"/>
      <c r="AI31" s="190"/>
      <c r="AJ31" s="190"/>
      <c r="AK31" s="190"/>
      <c r="AL31" s="190"/>
      <c r="AM31" s="190"/>
      <c r="AN31" s="190"/>
      <c r="AO31" s="190"/>
      <c r="AP31" s="190"/>
      <c r="AQ31" s="190"/>
      <c r="AR31" s="190"/>
      <c r="AS31" s="190"/>
      <c r="AT31" s="190"/>
      <c r="AU31" s="190"/>
      <c r="AV31" s="190"/>
      <c r="AW31" s="190"/>
      <c r="AX31" s="190"/>
      <c r="AY31" s="190"/>
      <c r="AZ31" s="190"/>
    </row>
    <row r="32" spans="2:52" ht="15">
      <c r="B32" s="11"/>
      <c r="AG32" s="190"/>
      <c r="AH32" s="190"/>
      <c r="AI32" s="190"/>
      <c r="AJ32" s="190"/>
      <c r="AK32" s="190"/>
      <c r="AL32" s="198"/>
      <c r="AM32" s="190"/>
      <c r="AN32" s="190"/>
      <c r="AO32" s="190"/>
      <c r="AP32" s="190"/>
      <c r="AQ32" s="190"/>
      <c r="AR32" s="190"/>
      <c r="AS32" s="190"/>
      <c r="AT32" s="190"/>
      <c r="AU32" s="190"/>
      <c r="AV32" s="190"/>
      <c r="AW32" s="190"/>
      <c r="AX32" s="190"/>
      <c r="AY32" s="190"/>
      <c r="AZ32" s="190"/>
    </row>
    <row r="33" spans="33:52" ht="15">
      <c r="AG33" s="190"/>
      <c r="AH33" s="190"/>
      <c r="AI33" s="190"/>
      <c r="AJ33" s="190"/>
      <c r="AK33" s="190"/>
      <c r="AL33" s="190"/>
      <c r="AM33" s="198"/>
      <c r="AN33" s="190"/>
      <c r="AO33" s="190"/>
      <c r="AP33" s="190"/>
      <c r="AQ33" s="190"/>
      <c r="AR33" s="190"/>
      <c r="AS33" s="190"/>
      <c r="AT33" s="190"/>
      <c r="AU33" s="190"/>
      <c r="AV33" s="190"/>
      <c r="AW33" s="190"/>
      <c r="AX33" s="190"/>
      <c r="AY33" s="190"/>
      <c r="AZ33" s="190"/>
    </row>
    <row r="34" spans="33:52" ht="14.25">
      <c r="AG34" s="190"/>
      <c r="AH34" s="190"/>
      <c r="AI34" s="190"/>
      <c r="AJ34" s="190"/>
      <c r="AK34" s="190"/>
      <c r="AL34" s="190"/>
      <c r="AM34" s="190"/>
      <c r="AN34" s="190"/>
      <c r="AO34" s="190"/>
      <c r="AP34" s="190"/>
      <c r="AQ34" s="190"/>
      <c r="AR34" s="190"/>
      <c r="AS34" s="190"/>
      <c r="AT34" s="190"/>
      <c r="AU34" s="190"/>
      <c r="AV34" s="190"/>
      <c r="AW34" s="190"/>
      <c r="AX34" s="190"/>
      <c r="AY34" s="190"/>
      <c r="AZ34" s="190"/>
    </row>
    <row r="35" spans="2:62" s="11" customFormat="1" ht="1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190"/>
      <c r="AH35" s="190"/>
      <c r="AI35" s="190"/>
      <c r="AJ35" s="190"/>
      <c r="AK35" s="190"/>
      <c r="AL35" s="190"/>
      <c r="AM35" s="190"/>
      <c r="AN35" s="198"/>
      <c r="AO35" s="198"/>
      <c r="AP35" s="198"/>
      <c r="AQ35" s="198"/>
      <c r="AR35" s="198"/>
      <c r="AS35" s="198"/>
      <c r="AT35" s="198"/>
      <c r="AU35" s="198"/>
      <c r="AV35" s="198"/>
      <c r="AW35" s="198"/>
      <c r="AX35" s="198"/>
      <c r="AY35" s="198"/>
      <c r="AZ35" s="198"/>
      <c r="BA35" s="171"/>
      <c r="BB35" s="171"/>
      <c r="BC35" s="171"/>
      <c r="BD35" s="171"/>
      <c r="BE35" s="171"/>
      <c r="BF35" s="171"/>
      <c r="BG35" s="171"/>
      <c r="BH35" s="171"/>
      <c r="BI35" s="171"/>
      <c r="BJ35" s="171"/>
    </row>
    <row r="36" spans="33:52" ht="14.25">
      <c r="AG36" s="190"/>
      <c r="AH36" s="190"/>
      <c r="AI36" s="190"/>
      <c r="AJ36" s="190"/>
      <c r="AK36" s="190"/>
      <c r="AL36" s="190"/>
      <c r="AM36" s="190"/>
      <c r="AN36" s="190"/>
      <c r="AO36" s="190"/>
      <c r="AP36" s="190"/>
      <c r="AQ36" s="190"/>
      <c r="AR36" s="190"/>
      <c r="AS36" s="190"/>
      <c r="AT36" s="190"/>
      <c r="AU36" s="190"/>
      <c r="AV36" s="190"/>
      <c r="AW36" s="190"/>
      <c r="AX36" s="190"/>
      <c r="AY36" s="190"/>
      <c r="AZ36" s="190"/>
    </row>
    <row r="40" ht="14.25">
      <c r="AG40" s="9" t="s">
        <v>26</v>
      </c>
    </row>
  </sheetData>
  <sheetProtection sheet="1" objects="1" scenarios="1"/>
  <mergeCells count="13">
    <mergeCell ref="B5:E5"/>
    <mergeCell ref="F5:G5"/>
    <mergeCell ref="C11:C12"/>
    <mergeCell ref="B4:G4"/>
    <mergeCell ref="AP7:AT7"/>
    <mergeCell ref="AO12:AO13"/>
    <mergeCell ref="AP12:AP13"/>
    <mergeCell ref="AQ12:AQ13"/>
    <mergeCell ref="D11:D12"/>
    <mergeCell ref="E11:E12"/>
    <mergeCell ref="F11:F12"/>
    <mergeCell ref="C10:E10"/>
    <mergeCell ref="B6:G6"/>
  </mergeCells>
  <dataValidations count="1">
    <dataValidation type="list" allowBlank="1" showInputMessage="1" showErrorMessage="1" sqref="AU7">
      <formula1>$AO$9:$AO$11</formula1>
    </dataValidation>
  </dataValidation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AD35"/>
  <sheetViews>
    <sheetView showGridLines="0" zoomScale="80" zoomScaleNormal="80" zoomScalePageLayoutView="0" workbookViewId="0" topLeftCell="A1">
      <selection activeCell="J10" sqref="J10"/>
    </sheetView>
  </sheetViews>
  <sheetFormatPr defaultColWidth="9.140625" defaultRowHeight="12.75"/>
  <cols>
    <col min="1" max="1" width="4.421875" style="105" customWidth="1"/>
    <col min="2" max="2" width="9.140625" style="30" customWidth="1"/>
    <col min="3" max="3" width="12.8515625" style="30" customWidth="1"/>
    <col min="4" max="4" width="14.8515625" style="30" customWidth="1"/>
    <col min="5" max="5" width="19.00390625" style="30" customWidth="1"/>
    <col min="6" max="6" width="13.28125" style="30" customWidth="1"/>
    <col min="7" max="7" width="15.7109375" style="30" customWidth="1"/>
    <col min="8" max="8" width="13.28125" style="30" customWidth="1"/>
    <col min="9" max="9" width="12.140625" style="30" customWidth="1"/>
    <col min="10" max="10" width="13.28125" style="30" customWidth="1"/>
    <col min="11" max="11" width="13.8515625" style="30" customWidth="1"/>
    <col min="12" max="12" width="19.00390625" style="30" customWidth="1"/>
    <col min="13" max="13" width="11.7109375" style="30" customWidth="1"/>
    <col min="14" max="16384" width="9.140625" style="30" customWidth="1"/>
  </cols>
  <sheetData>
    <row r="1" spans="2:10" ht="19.5" customHeight="1">
      <c r="B1" s="109" t="s">
        <v>53</v>
      </c>
      <c r="G1" s="118" t="s">
        <v>137</v>
      </c>
      <c r="H1" s="116"/>
      <c r="I1" s="116"/>
      <c r="J1" s="145"/>
    </row>
    <row r="2" spans="1:30" s="25" customFormat="1" ht="16.5">
      <c r="A2" s="106"/>
      <c r="B2" s="204" t="s">
        <v>164</v>
      </c>
      <c r="G2" s="114"/>
      <c r="H2" s="14"/>
      <c r="I2" s="97" t="s">
        <v>108</v>
      </c>
      <c r="J2" s="110"/>
      <c r="L2" s="4"/>
      <c r="M2" s="27"/>
      <c r="N2" s="27"/>
      <c r="O2" s="27"/>
      <c r="P2" s="27"/>
      <c r="W2" s="28"/>
      <c r="AD2" s="29" t="s">
        <v>2</v>
      </c>
    </row>
    <row r="3" spans="1:30" s="25" customFormat="1" ht="17.25" thickBot="1">
      <c r="A3" s="106"/>
      <c r="C3" s="7"/>
      <c r="D3" s="7"/>
      <c r="E3" s="7"/>
      <c r="G3" s="115"/>
      <c r="H3" s="117"/>
      <c r="I3" s="112" t="s">
        <v>111</v>
      </c>
      <c r="J3" s="113"/>
      <c r="K3" s="7"/>
      <c r="L3" s="7"/>
      <c r="M3" s="30"/>
      <c r="N3" s="30"/>
      <c r="O3" s="30"/>
      <c r="P3" s="30"/>
      <c r="Q3" s="30"/>
      <c r="W3" s="28"/>
      <c r="AD3" s="29"/>
    </row>
    <row r="4" spans="1:29" s="25" customFormat="1" ht="17.25" thickBot="1">
      <c r="A4" s="106"/>
      <c r="B4" s="7"/>
      <c r="C4" s="7"/>
      <c r="D4" s="7"/>
      <c r="E4" s="7"/>
      <c r="F4" s="7"/>
      <c r="G4" s="7"/>
      <c r="H4" s="7"/>
      <c r="I4" s="7"/>
      <c r="J4" s="7"/>
      <c r="K4" s="7"/>
      <c r="L4" s="30"/>
      <c r="M4" s="30"/>
      <c r="N4" s="30"/>
      <c r="O4" s="30"/>
      <c r="P4" s="30"/>
      <c r="V4" s="28"/>
      <c r="AC4" s="29"/>
    </row>
    <row r="5" spans="2:15" ht="12.75">
      <c r="B5" s="180" t="s">
        <v>54</v>
      </c>
      <c r="C5" s="181"/>
      <c r="D5" s="181"/>
      <c r="E5" s="181"/>
      <c r="F5" s="181"/>
      <c r="G5" s="181"/>
      <c r="H5" s="181"/>
      <c r="I5" s="181"/>
      <c r="J5" s="181"/>
      <c r="K5" s="181"/>
      <c r="L5" s="181"/>
      <c r="M5" s="181"/>
      <c r="N5" s="181"/>
      <c r="O5" s="182"/>
    </row>
    <row r="6" spans="1:15" ht="12.75">
      <c r="A6" s="107"/>
      <c r="B6" s="87" t="s">
        <v>160</v>
      </c>
      <c r="C6" s="88"/>
      <c r="D6" s="88"/>
      <c r="E6" s="88"/>
      <c r="F6" s="88"/>
      <c r="G6" s="88"/>
      <c r="H6" s="88"/>
      <c r="I6" s="88"/>
      <c r="J6" s="88"/>
      <c r="K6" s="88"/>
      <c r="L6" s="88"/>
      <c r="M6" s="88"/>
      <c r="N6" s="88"/>
      <c r="O6" s="89"/>
    </row>
    <row r="7" spans="2:15" ht="29.25" customHeight="1" thickBot="1">
      <c r="B7" s="256" t="s">
        <v>55</v>
      </c>
      <c r="C7" s="257"/>
      <c r="D7" s="257"/>
      <c r="E7" s="257"/>
      <c r="F7" s="257"/>
      <c r="G7" s="257"/>
      <c r="H7" s="257"/>
      <c r="I7" s="257"/>
      <c r="J7" s="257"/>
      <c r="K7" s="257"/>
      <c r="L7" s="257"/>
      <c r="M7" s="257"/>
      <c r="N7" s="257"/>
      <c r="O7" s="258"/>
    </row>
    <row r="8" ht="13.5" thickBot="1"/>
    <row r="9" spans="1:11" ht="17.25" customHeight="1" thickBot="1">
      <c r="A9" s="108" t="s">
        <v>133</v>
      </c>
      <c r="B9" s="119" t="s">
        <v>9</v>
      </c>
      <c r="C9" s="122"/>
      <c r="D9" s="122"/>
      <c r="E9" s="122"/>
      <c r="F9" s="122"/>
      <c r="G9" s="123"/>
      <c r="H9" s="7"/>
      <c r="I9" s="7"/>
      <c r="J9" s="7"/>
      <c r="K9" s="7"/>
    </row>
    <row r="10" spans="2:11" ht="24.75" customHeight="1" thickBot="1">
      <c r="B10" s="7"/>
      <c r="C10" s="7"/>
      <c r="D10" s="7"/>
      <c r="E10" s="7"/>
      <c r="F10" s="7"/>
      <c r="G10" s="7"/>
      <c r="H10" s="7"/>
      <c r="I10" s="7"/>
      <c r="J10" s="7"/>
      <c r="K10" s="7"/>
    </row>
    <row r="11" spans="2:6" ht="15">
      <c r="B11" s="199" t="s">
        <v>103</v>
      </c>
      <c r="C11" s="200"/>
      <c r="D11" s="200"/>
      <c r="E11" s="200"/>
      <c r="F11" s="201"/>
    </row>
    <row r="12" spans="2:6" ht="15">
      <c r="B12" s="259" t="s">
        <v>8</v>
      </c>
      <c r="C12" s="260"/>
      <c r="D12" s="260"/>
      <c r="E12" s="260"/>
      <c r="F12" s="3"/>
    </row>
    <row r="13" spans="2:6" ht="15.75" thickBot="1">
      <c r="B13" s="261" t="s">
        <v>105</v>
      </c>
      <c r="C13" s="262"/>
      <c r="D13" s="262"/>
      <c r="E13" s="262"/>
      <c r="F13" s="202"/>
    </row>
    <row r="14" spans="2:12" ht="16.5" thickBot="1">
      <c r="B14" s="31" t="s">
        <v>9</v>
      </c>
      <c r="C14" s="32"/>
      <c r="D14" s="32"/>
      <c r="E14" s="32"/>
      <c r="F14" s="32"/>
      <c r="G14" s="33">
        <f>0.3*F11*F12*F13</f>
        <v>0</v>
      </c>
      <c r="H14" s="34" t="s">
        <v>10</v>
      </c>
      <c r="I14" s="32"/>
      <c r="J14" s="205" t="str">
        <f>IF('Utility Rate Data Input'!D16="Select one","SeeUtilityRateDataInputtab",G14*'Utility Rate Data Input'!CK12)</f>
        <v>SeeUtilityRateDataInputtab</v>
      </c>
      <c r="K14" s="32"/>
      <c r="L14" s="203" t="s">
        <v>106</v>
      </c>
    </row>
    <row r="15" spans="2:12" ht="12.75">
      <c r="B15" s="35" t="s">
        <v>11</v>
      </c>
      <c r="C15" s="36"/>
      <c r="D15" s="36"/>
      <c r="E15" s="36"/>
      <c r="F15" s="36"/>
      <c r="G15" s="36"/>
      <c r="H15" s="36"/>
      <c r="I15" s="36"/>
      <c r="J15" s="36"/>
      <c r="K15" s="36"/>
      <c r="L15" s="37"/>
    </row>
    <row r="16" spans="2:12" ht="15">
      <c r="B16" s="38" t="s">
        <v>12</v>
      </c>
      <c r="C16" s="36"/>
      <c r="D16" s="36"/>
      <c r="E16" s="36"/>
      <c r="F16" s="36"/>
      <c r="G16" s="36"/>
      <c r="H16" s="36"/>
      <c r="I16" s="36"/>
      <c r="J16" s="36"/>
      <c r="K16" s="36"/>
      <c r="L16" s="37"/>
    </row>
    <row r="17" spans="2:12" ht="13.5" thickBot="1">
      <c r="B17" s="39" t="s">
        <v>104</v>
      </c>
      <c r="C17" s="40"/>
      <c r="D17" s="40"/>
      <c r="E17" s="40"/>
      <c r="F17" s="40"/>
      <c r="G17" s="40"/>
      <c r="H17" s="40"/>
      <c r="I17" s="40"/>
      <c r="J17" s="40"/>
      <c r="K17" s="40"/>
      <c r="L17" s="41"/>
    </row>
    <row r="18" ht="18.75" customHeight="1"/>
    <row r="19" ht="13.5" thickBot="1"/>
    <row r="20" spans="1:15" ht="19.5" thickBot="1">
      <c r="A20" s="108" t="s">
        <v>134</v>
      </c>
      <c r="B20" s="119" t="s">
        <v>132</v>
      </c>
      <c r="C20" s="120"/>
      <c r="D20" s="120"/>
      <c r="E20" s="121"/>
      <c r="F20" s="104"/>
      <c r="G20" s="99"/>
      <c r="H20" s="99"/>
      <c r="I20" s="99"/>
      <c r="J20" s="99"/>
      <c r="K20" s="99"/>
      <c r="L20" s="99"/>
      <c r="M20" s="99"/>
      <c r="N20" s="99"/>
      <c r="O20" s="99"/>
    </row>
    <row r="21" spans="2:29" ht="18.75" thickBot="1">
      <c r="B21" s="104"/>
      <c r="C21" s="104"/>
      <c r="D21" s="104"/>
      <c r="E21" s="104"/>
      <c r="F21" s="104"/>
      <c r="G21" s="99"/>
      <c r="H21" s="99"/>
      <c r="I21" s="99"/>
      <c r="J21" s="109" t="s">
        <v>135</v>
      </c>
      <c r="K21" s="102"/>
      <c r="L21" s="102"/>
      <c r="M21" s="99"/>
      <c r="N21" s="99"/>
      <c r="O21" s="99"/>
      <c r="AC21" s="217">
        <f aca="true" t="shared" si="0" ref="AC21:AC32">IF($G$25=J23,K23,0)</f>
        <v>0</v>
      </c>
    </row>
    <row r="22" spans="2:29" ht="47.25" customHeight="1" thickBot="1">
      <c r="B22" s="255" t="s">
        <v>56</v>
      </c>
      <c r="C22" s="255"/>
      <c r="D22" s="255"/>
      <c r="E22" s="255"/>
      <c r="F22" s="255"/>
      <c r="G22" s="255"/>
      <c r="H22" s="255"/>
      <c r="I22" s="102"/>
      <c r="J22" s="214" t="s">
        <v>118</v>
      </c>
      <c r="K22" s="173" t="s">
        <v>131</v>
      </c>
      <c r="L22" s="102"/>
      <c r="M22" s="102"/>
      <c r="N22" s="102"/>
      <c r="AC22" s="217">
        <f t="shared" si="0"/>
        <v>0</v>
      </c>
    </row>
    <row r="23" spans="2:29" ht="21" customHeight="1">
      <c r="B23" s="31" t="s">
        <v>57</v>
      </c>
      <c r="C23" s="42"/>
      <c r="D23" s="42"/>
      <c r="E23" s="42"/>
      <c r="F23" s="42"/>
      <c r="G23" s="178"/>
      <c r="J23" s="212" t="s">
        <v>119</v>
      </c>
      <c r="K23" s="174">
        <v>52.9</v>
      </c>
      <c r="AC23" s="217">
        <f t="shared" si="0"/>
        <v>0</v>
      </c>
    </row>
    <row r="24" spans="2:29" ht="16.5" thickBot="1">
      <c r="B24" s="39"/>
      <c r="C24" s="43"/>
      <c r="D24" s="43"/>
      <c r="E24" s="43"/>
      <c r="F24" s="101" t="s">
        <v>117</v>
      </c>
      <c r="G24" s="179">
        <f>(G23/1000)*500</f>
        <v>0</v>
      </c>
      <c r="J24" s="213" t="s">
        <v>120</v>
      </c>
      <c r="K24" s="175">
        <v>48.5</v>
      </c>
      <c r="AC24" s="217">
        <f t="shared" si="0"/>
        <v>0</v>
      </c>
    </row>
    <row r="25" spans="2:29" ht="17.25" thickBot="1">
      <c r="B25" s="251" t="s">
        <v>161</v>
      </c>
      <c r="C25" s="252"/>
      <c r="D25" s="252"/>
      <c r="E25" s="252"/>
      <c r="F25" s="253"/>
      <c r="G25" s="47" t="s">
        <v>110</v>
      </c>
      <c r="J25" s="215" t="s">
        <v>121</v>
      </c>
      <c r="K25" s="176">
        <v>53.9</v>
      </c>
      <c r="AC25" s="217">
        <f t="shared" si="0"/>
        <v>0</v>
      </c>
    </row>
    <row r="26" spans="2:29" ht="19.5" customHeight="1" thickBot="1">
      <c r="B26" s="39"/>
      <c r="C26" s="43"/>
      <c r="D26" s="43"/>
      <c r="E26" s="43"/>
      <c r="F26" s="101" t="s">
        <v>116</v>
      </c>
      <c r="G26" s="179">
        <f>IF(G25="Select One",0,G24*AC33)</f>
        <v>0</v>
      </c>
      <c r="J26" s="213" t="s">
        <v>122</v>
      </c>
      <c r="K26" s="175">
        <v>52.8</v>
      </c>
      <c r="AC26" s="217">
        <f t="shared" si="0"/>
        <v>0</v>
      </c>
    </row>
    <row r="27" spans="2:29" ht="18" customHeight="1" thickBot="1">
      <c r="B27" s="92"/>
      <c r="C27" s="93"/>
      <c r="D27" s="93"/>
      <c r="E27" s="93"/>
      <c r="F27" s="93" t="s">
        <v>107</v>
      </c>
      <c r="G27" s="211" t="str">
        <f>IF('Utility Rate Data Input'!D16="Select one","See Utility Rate Data Input tab",G26*'Utility Rate Data Input'!CK12)</f>
        <v>See Utility Rate Data Input tab</v>
      </c>
      <c r="J27" s="215" t="s">
        <v>123</v>
      </c>
      <c r="K27" s="176">
        <v>52.8</v>
      </c>
      <c r="AC27" s="217">
        <f t="shared" si="0"/>
        <v>0</v>
      </c>
    </row>
    <row r="28" spans="2:29" ht="16.5" customHeight="1">
      <c r="B28" s="254" t="s">
        <v>136</v>
      </c>
      <c r="C28" s="254"/>
      <c r="D28" s="254"/>
      <c r="E28" s="254"/>
      <c r="F28" s="254"/>
      <c r="G28" s="254"/>
      <c r="H28" s="103"/>
      <c r="I28" s="102"/>
      <c r="J28" s="213" t="s">
        <v>124</v>
      </c>
      <c r="K28" s="175">
        <v>39.4</v>
      </c>
      <c r="M28" s="102"/>
      <c r="N28" s="99"/>
      <c r="AC28" s="217">
        <f t="shared" si="0"/>
        <v>0</v>
      </c>
    </row>
    <row r="29" spans="2:29" ht="18" customHeight="1">
      <c r="B29" s="255"/>
      <c r="C29" s="255"/>
      <c r="D29" s="255"/>
      <c r="E29" s="255"/>
      <c r="F29" s="255"/>
      <c r="G29" s="255"/>
      <c r="J29" s="215" t="s">
        <v>125</v>
      </c>
      <c r="K29" s="176">
        <v>54.4</v>
      </c>
      <c r="AC29" s="217">
        <f t="shared" si="0"/>
        <v>0</v>
      </c>
    </row>
    <row r="30" spans="2:29" ht="18" customHeight="1">
      <c r="B30" s="255"/>
      <c r="C30" s="255"/>
      <c r="D30" s="255"/>
      <c r="E30" s="255"/>
      <c r="F30" s="255"/>
      <c r="G30" s="255"/>
      <c r="J30" s="213" t="s">
        <v>126</v>
      </c>
      <c r="K30" s="175">
        <v>48.3</v>
      </c>
      <c r="AC30" s="217">
        <f t="shared" si="0"/>
        <v>0</v>
      </c>
    </row>
    <row r="31" spans="2:29" ht="18" customHeight="1">
      <c r="B31" s="255"/>
      <c r="C31" s="255"/>
      <c r="D31" s="255"/>
      <c r="E31" s="255"/>
      <c r="F31" s="255"/>
      <c r="G31" s="255"/>
      <c r="J31" s="215" t="s">
        <v>127</v>
      </c>
      <c r="K31" s="176">
        <v>57.6</v>
      </c>
      <c r="AC31" s="217">
        <f t="shared" si="0"/>
        <v>0</v>
      </c>
    </row>
    <row r="32" spans="2:29" ht="18" customHeight="1">
      <c r="B32" s="255"/>
      <c r="C32" s="255"/>
      <c r="D32" s="255"/>
      <c r="E32" s="255"/>
      <c r="F32" s="255"/>
      <c r="G32" s="255"/>
      <c r="J32" s="213" t="s">
        <v>128</v>
      </c>
      <c r="K32" s="175">
        <v>65.5</v>
      </c>
      <c r="AC32" s="217">
        <f t="shared" si="0"/>
        <v>0</v>
      </c>
    </row>
    <row r="33" spans="2:29" ht="18" customHeight="1">
      <c r="B33" s="255"/>
      <c r="C33" s="255"/>
      <c r="D33" s="255"/>
      <c r="E33" s="255"/>
      <c r="F33" s="255"/>
      <c r="G33" s="255"/>
      <c r="J33" s="215" t="s">
        <v>129</v>
      </c>
      <c r="K33" s="176">
        <v>55.8</v>
      </c>
      <c r="AC33" s="217">
        <f>SUM(AC21:AC32)</f>
        <v>0</v>
      </c>
    </row>
    <row r="34" spans="10:11" ht="18" customHeight="1" thickBot="1">
      <c r="J34" s="216" t="s">
        <v>130</v>
      </c>
      <c r="K34" s="177">
        <v>55.3</v>
      </c>
    </row>
    <row r="35" ht="18" customHeight="1">
      <c r="J35" s="218" t="s">
        <v>110</v>
      </c>
    </row>
    <row r="36" ht="18" customHeight="1"/>
    <row r="37" ht="15" customHeight="1"/>
    <row r="41" ht="15" customHeight="1"/>
    <row r="42" ht="15" customHeight="1"/>
  </sheetData>
  <sheetProtection sheet="1" objects="1" scenarios="1"/>
  <mergeCells count="6">
    <mergeCell ref="B25:F25"/>
    <mergeCell ref="B28:G33"/>
    <mergeCell ref="B22:H22"/>
    <mergeCell ref="B7:O7"/>
    <mergeCell ref="B12:E12"/>
    <mergeCell ref="B13:E13"/>
  </mergeCells>
  <dataValidations count="1">
    <dataValidation type="list" allowBlank="1" showInputMessage="1" showErrorMessage="1" sqref="G25">
      <formula1>$J$23:$J$35</formula1>
    </dataValidation>
  </dataValidations>
  <printOptions/>
  <pageMargins left="0.7" right="0.7" top="0.75" bottom="0.75" header="0.3" footer="0.3"/>
  <pageSetup horizontalDpi="600" verticalDpi="600" orientation="portrait" r:id="rId1"/>
  <ignoredErrors>
    <ignoredError sqref="A9 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South Fl. Water Mgmnt District</cp:lastModifiedBy>
  <cp:lastPrinted>2010-04-20T18:13:26Z</cp:lastPrinted>
  <dcterms:created xsi:type="dcterms:W3CDTF">2004-07-12T13:20:55Z</dcterms:created>
  <dcterms:modified xsi:type="dcterms:W3CDTF">2013-05-06T15:45:53Z</dcterms:modified>
  <cp:category/>
  <cp:version/>
  <cp:contentType/>
  <cp:contentStatus/>
</cp:coreProperties>
</file>